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dir.no\Users\Users3\tetra\My Documents\"/>
    </mc:Choice>
  </mc:AlternateContent>
  <xr:revisionPtr revIDLastSave="0" documentId="8_{FD020461-EA79-4515-83A6-B9F031F1E494}" xr6:coauthVersionLast="47" xr6:coauthVersionMax="47" xr10:uidLastSave="{00000000-0000-0000-0000-000000000000}"/>
  <bookViews>
    <workbookView xWindow="-110" yWindow="-110" windowWidth="19420" windowHeight="11500" xr2:uid="{99D1297C-84F7-491A-B52A-4887C8987F35}"/>
  </bookViews>
  <sheets>
    <sheet name="Kalkulator 2026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F23" i="1"/>
  <c r="H23" i="1"/>
  <c r="G23" i="1"/>
  <c r="F16" i="1"/>
  <c r="G16" i="1"/>
  <c r="H16" i="1"/>
  <c r="F17" i="1"/>
  <c r="E19" i="1"/>
  <c r="E15" i="1"/>
  <c r="E14" i="1"/>
  <c r="C14" i="1"/>
  <c r="E13" i="1"/>
  <c r="C13" i="1"/>
  <c r="G19" i="1"/>
  <c r="G25" i="1"/>
  <c r="H19" i="1"/>
  <c r="H25" i="1"/>
  <c r="F19" i="1"/>
  <c r="F25" i="1"/>
  <c r="H18" i="1"/>
  <c r="F14" i="1"/>
  <c r="F13" i="1"/>
  <c r="C15" i="1"/>
  <c r="G15" i="1"/>
  <c r="F15" i="1"/>
  <c r="F18" i="1"/>
  <c r="F20" i="1"/>
  <c r="G18" i="1"/>
  <c r="H20" i="1"/>
  <c r="H21" i="1"/>
  <c r="H22" i="1"/>
  <c r="F21" i="1"/>
  <c r="F22" i="1"/>
  <c r="F24" i="1"/>
  <c r="G20" i="1"/>
  <c r="G21" i="1"/>
  <c r="G22" i="1"/>
  <c r="G24" i="1"/>
  <c r="H24" i="1"/>
</calcChain>
</file>

<file path=xl/sharedStrings.xml><?xml version="1.0" encoding="utf-8"?>
<sst xmlns="http://schemas.openxmlformats.org/spreadsheetml/2006/main" count="38" uniqueCount="37">
  <si>
    <t>Nasjonal ALIS og veiledning</t>
  </si>
  <si>
    <t>Kalkulator for beregning av maksimale tilskuddsrammer per ALIS</t>
  </si>
  <si>
    <t>!! Skriv kun i gule celler</t>
  </si>
  <si>
    <r>
      <t xml:space="preserve">Salærsats gjeldende fra 01.01.2025 kr. 1315
 4% økning (tilsvarende økningen fra -24 til -25) gir en </t>
    </r>
    <r>
      <rPr>
        <b/>
        <sz val="11"/>
        <rFont val="Calibri"/>
        <family val="2"/>
        <scheme val="minor"/>
      </rPr>
      <t>estimert salærsats for -26</t>
    </r>
    <r>
      <rPr>
        <sz val="11"/>
        <rFont val="Calibri"/>
        <family val="2"/>
        <scheme val="minor"/>
      </rPr>
      <t xml:space="preserve"> på kr 1367</t>
    </r>
  </si>
  <si>
    <t>Stillingsbrøk</t>
  </si>
  <si>
    <t xml:space="preserve">Dato fra </t>
  </si>
  <si>
    <t>Dato til og med</t>
  </si>
  <si>
    <t>Antall dager det søkes tilskudd for</t>
  </si>
  <si>
    <t>Kalkulasjon</t>
  </si>
  <si>
    <t>Avtaleelement</t>
  </si>
  <si>
    <t>Forklaring</t>
  </si>
  <si>
    <t>Ant. (dager/ timer)</t>
  </si>
  <si>
    <t>Justering ift. Salærsats</t>
  </si>
  <si>
    <t>Salær* faktor= Sats</t>
  </si>
  <si>
    <t xml:space="preserve">Allmennlege u/FLO </t>
  </si>
  <si>
    <t xml:space="preserve">Praksiskompensasjon læringsaktiviteter og veiledning, med deltakelse i gruppeveiledning. 23 dager (182 timer), 8280 kr for en hel dag. Forutsatt 8 timer per dag tilsvarer det 1035 kroner timen i 1  
Gj.snitt med og uten gruppeveiledning - begge vektet likt
</t>
  </si>
  <si>
    <t>Praksiskompensasjon læringsaktiviteter og veiledning, uten deltakelse i gruppeveiledning. 15 dager (122 timer) 8280 kr for en hel dag. 
Forutsatt 1 dag =8 timer, tilsverer det 1035 kr timen.</t>
  </si>
  <si>
    <t>Kompensasjon ved fravær</t>
  </si>
  <si>
    <t>Kompensasjon ved fravær fra fastlegepraksis for gjennomførte læringsaktiviteter. Refunderes for maksimalt 20 dager (160) timer per ALIS per år.</t>
  </si>
  <si>
    <t>Kompensasjon for utgifter til gjennomførte læringsaktiviteter</t>
  </si>
  <si>
    <t xml:space="preserve">Gis inntil en maksimal grense på kr. 14.000 per ALIS per år. </t>
  </si>
  <si>
    <t xml:space="preserve">Produktivitetselementet gis kun i de 24 første månedene ALIS arbeider som fastlege eller fastlegevikar. Dette gjelder uavhengig av legens stillingsprosent. Kompensasjonen utgjør 125 000 kroner per ALIS per år i fulltidsstilling. </t>
  </si>
  <si>
    <t>Kompensasjon for kommunens utgifter til veiledning</t>
  </si>
  <si>
    <t>Dette avtaleelementet er obligatorisk, noe som følger av spesialistforskriftens krav til veiledning. Veiledning skal gis jevnlig og i gjennomsnitt tilsvare minimum 42 timer per år. I tillegg gis kompensasjon for inntil 1,5 times for- og etterarbeid per måned i 10,5 av årets måneder for veileder.</t>
  </si>
  <si>
    <t>Mellomsum per ALIS, inkl kompensasjon for kommunenes utgifter til veiledning</t>
  </si>
  <si>
    <t>Praktisk tilrettelegging for gode utdanningsløp</t>
  </si>
  <si>
    <t>Inntil 5% av søknadsbeløpet per ALIS kan benyttes av kommunen for å understøtte gode utdanningsløp.</t>
  </si>
  <si>
    <t xml:space="preserve">Maksimal tilskuddsum per ALIS per år </t>
  </si>
  <si>
    <t>Maksimalt årlig tillegg per ALIS for kommuner i sentralitetsgrad 6</t>
  </si>
  <si>
    <t>Maks sum per ALIS per år inkl veiledning</t>
  </si>
  <si>
    <t xml:space="preserve">Maksimal sats per ALIS per år - kun veiledning </t>
  </si>
  <si>
    <t>Fastlege og fastlegevikar med prod.element</t>
  </si>
  <si>
    <t xml:space="preserve">Mellomsum per ALIS </t>
  </si>
  <si>
    <t>Maksimale rammer per elementer og stillingstype</t>
  </si>
  <si>
    <t>Fastlege og fastlegevikar uten  prod.element 
 Introduksjonslege</t>
  </si>
  <si>
    <t>Kompensasjon for lavere produktivitet*</t>
  </si>
  <si>
    <t>*Dersom ALIS bare for deler av perioden har krav på kompensasjon for lavere produktivitet, vil beløpet beregnes i skjema.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</si>
</sst>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4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2" tint="-0.499984740745262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wrapText="1"/>
    </xf>
    <xf numFmtId="0" fontId="4" fillId="2" borderId="0" xfId="0" applyFont="1" applyFill="1" applyAlignment="1">
      <alignment horizontal="center"/>
    </xf>
    <xf numFmtId="0" fontId="0" fillId="2" borderId="0" xfId="0" applyFill="1"/>
    <xf numFmtId="0" fontId="5" fillId="0" borderId="0" xfId="0" applyFont="1" applyAlignment="1">
      <alignment horizontal="right" wrapText="1"/>
    </xf>
    <xf numFmtId="0" fontId="6" fillId="2" borderId="0" xfId="0" applyFont="1" applyFill="1" applyAlignment="1">
      <alignment horizontal="center"/>
    </xf>
    <xf numFmtId="0" fontId="7" fillId="0" borderId="0" xfId="0" applyFont="1" applyAlignment="1">
      <alignment horizontal="left" wrapText="1"/>
    </xf>
    <xf numFmtId="0" fontId="8" fillId="0" borderId="0" xfId="0" applyFont="1"/>
    <xf numFmtId="0" fontId="2" fillId="4" borderId="4" xfId="0" applyFont="1" applyFill="1" applyBorder="1" applyAlignment="1">
      <alignment horizontal="left"/>
    </xf>
    <xf numFmtId="0" fontId="0" fillId="4" borderId="2" xfId="0" applyFill="1" applyBorder="1"/>
    <xf numFmtId="0" fontId="0" fillId="4" borderId="3" xfId="0" applyFill="1" applyBorder="1"/>
    <xf numFmtId="0" fontId="9" fillId="6" borderId="1" xfId="0" applyFont="1" applyFill="1" applyBorder="1" applyAlignment="1">
      <alignment wrapText="1"/>
    </xf>
    <xf numFmtId="0" fontId="9" fillId="7" borderId="1" xfId="0" applyFont="1" applyFill="1" applyBorder="1" applyAlignment="1">
      <alignment horizontal="center" wrapText="1"/>
    </xf>
    <xf numFmtId="0" fontId="9" fillId="7" borderId="4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left" vertical="top" wrapText="1"/>
    </xf>
    <xf numFmtId="3" fontId="10" fillId="0" borderId="1" xfId="0" applyNumberFormat="1" applyFont="1" applyBorder="1" applyAlignment="1">
      <alignment horizontal="left" vertical="top"/>
    </xf>
    <xf numFmtId="3" fontId="10" fillId="0" borderId="4" xfId="0" applyNumberFormat="1" applyFont="1" applyBorder="1" applyAlignment="1">
      <alignment horizontal="left" vertical="top"/>
    </xf>
    <xf numFmtId="0" fontId="11" fillId="0" borderId="0" xfId="0" applyFont="1"/>
    <xf numFmtId="0" fontId="12" fillId="0" borderId="0" xfId="0" applyFont="1" applyAlignment="1">
      <alignment vertical="top" wrapText="1"/>
    </xf>
    <xf numFmtId="0" fontId="13" fillId="8" borderId="1" xfId="0" applyFont="1" applyFill="1" applyBorder="1" applyAlignment="1">
      <alignment vertical="top" wrapText="1"/>
    </xf>
    <xf numFmtId="0" fontId="13" fillId="2" borderId="1" xfId="0" applyFont="1" applyFill="1" applyBorder="1" applyAlignment="1">
      <alignment vertical="top" wrapText="1"/>
    </xf>
    <xf numFmtId="1" fontId="12" fillId="0" borderId="1" xfId="0" applyNumberFormat="1" applyFont="1" applyBorder="1" applyAlignment="1">
      <alignment vertical="top" wrapText="1"/>
    </xf>
    <xf numFmtId="3" fontId="12" fillId="0" borderId="1" xfId="0" applyNumberFormat="1" applyFont="1" applyBorder="1" applyAlignment="1">
      <alignment vertical="top"/>
    </xf>
    <xf numFmtId="3" fontId="14" fillId="0" borderId="1" xfId="0" applyNumberFormat="1" applyFont="1" applyBorder="1" applyAlignment="1">
      <alignment vertical="top"/>
    </xf>
    <xf numFmtId="3" fontId="14" fillId="0" borderId="4" xfId="0" applyNumberFormat="1" applyFont="1" applyBorder="1" applyAlignment="1">
      <alignment vertical="top"/>
    </xf>
    <xf numFmtId="0" fontId="2" fillId="0" borderId="0" xfId="0" applyFont="1"/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3" fontId="12" fillId="0" borderId="4" xfId="0" applyNumberFormat="1" applyFont="1" applyBorder="1" applyAlignment="1">
      <alignment vertical="top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vertical="top" wrapText="1"/>
    </xf>
    <xf numFmtId="0" fontId="18" fillId="8" borderId="1" xfId="0" applyFont="1" applyFill="1" applyBorder="1" applyAlignment="1">
      <alignment vertical="top" wrapText="1"/>
    </xf>
    <xf numFmtId="3" fontId="18" fillId="8" borderId="1" xfId="0" applyNumberFormat="1" applyFont="1" applyFill="1" applyBorder="1" applyAlignment="1">
      <alignment vertical="top"/>
    </xf>
    <xf numFmtId="3" fontId="18" fillId="8" borderId="4" xfId="0" applyNumberFormat="1" applyFont="1" applyFill="1" applyBorder="1" applyAlignment="1">
      <alignment vertical="top"/>
    </xf>
    <xf numFmtId="3" fontId="0" fillId="0" borderId="0" xfId="0" applyNumberFormat="1"/>
    <xf numFmtId="0" fontId="1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2" fillId="8" borderId="1" xfId="0" applyFont="1" applyFill="1" applyBorder="1" applyAlignment="1">
      <alignment vertical="center" wrapText="1"/>
    </xf>
    <xf numFmtId="3" fontId="15" fillId="8" borderId="1" xfId="0" applyNumberFormat="1" applyFont="1" applyFill="1" applyBorder="1" applyAlignment="1">
      <alignment vertical="center"/>
    </xf>
    <xf numFmtId="3" fontId="15" fillId="8" borderId="4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19" fillId="8" borderId="6" xfId="0" applyFont="1" applyFill="1" applyBorder="1" applyAlignment="1">
      <alignment wrapText="1"/>
    </xf>
    <xf numFmtId="0" fontId="12" fillId="0" borderId="5" xfId="0" applyFont="1" applyBorder="1" applyAlignment="1">
      <alignment vertical="top" wrapText="1"/>
    </xf>
    <xf numFmtId="3" fontId="19" fillId="0" borderId="5" xfId="0" applyNumberFormat="1" applyFont="1" applyBorder="1" applyAlignment="1">
      <alignment vertical="top"/>
    </xf>
    <xf numFmtId="3" fontId="19" fillId="0" borderId="7" xfId="0" applyNumberFormat="1" applyFont="1" applyBorder="1" applyAlignment="1">
      <alignment vertical="top"/>
    </xf>
    <xf numFmtId="0" fontId="19" fillId="8" borderId="8" xfId="0" applyFont="1" applyFill="1" applyBorder="1" applyAlignment="1">
      <alignment wrapText="1"/>
    </xf>
    <xf numFmtId="3" fontId="19" fillId="8" borderId="1" xfId="0" applyNumberFormat="1" applyFont="1" applyFill="1" applyBorder="1" applyAlignment="1">
      <alignment wrapText="1"/>
    </xf>
    <xf numFmtId="3" fontId="19" fillId="8" borderId="4" xfId="0" applyNumberFormat="1" applyFont="1" applyFill="1" applyBorder="1" applyAlignment="1">
      <alignment wrapText="1"/>
    </xf>
    <xf numFmtId="0" fontId="19" fillId="8" borderId="9" xfId="0" applyFont="1" applyFill="1" applyBorder="1" applyAlignment="1">
      <alignment wrapText="1"/>
    </xf>
    <xf numFmtId="3" fontId="20" fillId="8" borderId="10" xfId="0" applyNumberFormat="1" applyFont="1" applyFill="1" applyBorder="1" applyAlignment="1">
      <alignment wrapText="1"/>
    </xf>
    <xf numFmtId="3" fontId="20" fillId="8" borderId="11" xfId="0" applyNumberFormat="1" applyFont="1" applyFill="1" applyBorder="1" applyAlignment="1">
      <alignment wrapText="1"/>
    </xf>
    <xf numFmtId="0" fontId="21" fillId="0" borderId="0" xfId="0" applyFont="1" applyAlignment="1">
      <alignment wrapText="1"/>
    </xf>
    <xf numFmtId="164" fontId="13" fillId="8" borderId="1" xfId="1" applyNumberFormat="1" applyFont="1" applyFill="1" applyBorder="1" applyAlignment="1">
      <alignment vertical="top" wrapText="1"/>
    </xf>
    <xf numFmtId="1" fontId="2" fillId="8" borderId="0" xfId="0" applyNumberFormat="1" applyFont="1" applyFill="1" applyAlignment="1">
      <alignment horizontal="center"/>
    </xf>
    <xf numFmtId="0" fontId="22" fillId="3" borderId="1" xfId="0" applyFont="1" applyFill="1" applyBorder="1" applyAlignment="1">
      <alignment wrapText="1"/>
    </xf>
    <xf numFmtId="0" fontId="15" fillId="0" borderId="12" xfId="0" applyFont="1" applyBorder="1" applyAlignment="1">
      <alignment vertical="top" wrapText="1"/>
    </xf>
    <xf numFmtId="0" fontId="15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center" wrapText="1"/>
    </xf>
    <xf numFmtId="0" fontId="23" fillId="0" borderId="0" xfId="0" applyFont="1"/>
    <xf numFmtId="0" fontId="6" fillId="0" borderId="0" xfId="0" applyFont="1" applyAlignment="1">
      <alignment horizontal="left" wrapText="1"/>
    </xf>
    <xf numFmtId="0" fontId="6" fillId="9" borderId="0" xfId="0" applyFont="1" applyFill="1" applyAlignment="1" applyProtection="1">
      <alignment horizontal="center"/>
      <protection locked="0"/>
    </xf>
    <xf numFmtId="14" fontId="2" fillId="9" borderId="0" xfId="0" applyNumberFormat="1" applyFont="1" applyFill="1" applyAlignment="1" applyProtection="1">
      <alignment horizontal="center"/>
      <protection locked="0"/>
    </xf>
    <xf numFmtId="0" fontId="9" fillId="7" borderId="1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wrapText="1"/>
    </xf>
    <xf numFmtId="0" fontId="19" fillId="5" borderId="2" xfId="0" applyFont="1" applyFill="1" applyBorder="1" applyAlignment="1">
      <alignment wrapText="1"/>
    </xf>
    <xf numFmtId="0" fontId="19" fillId="5" borderId="3" xfId="0" applyFont="1" applyFill="1" applyBorder="1" applyAlignment="1">
      <alignment wrapText="1"/>
    </xf>
  </cellXfs>
  <cellStyles count="2">
    <cellStyle name="Komma" xfId="1" builtinId="3"/>
    <cellStyle name="Normal" xfId="0" builtinId="0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3" formatCode="#,##0"/>
      <alignment horizontal="righ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392816-68FB-48EB-9342-5EF32D1CCCE4}" name="Tabell49445" displayName="Tabell49445" ref="B12:H25" totalsRowShown="0" headerRowDxfId="7">
  <tableColumns count="7">
    <tableColumn id="1" xr3:uid="{DDE70AB4-1FB3-4AF5-9FB0-70E82D294209}" name="Forklaring" dataDxfId="6"/>
    <tableColumn id="7" xr3:uid="{412D6F4F-CFD9-414F-8ABA-8C78596A80BB}" name="Ant. (dager/ timer)" dataDxfId="5"/>
    <tableColumn id="11" xr3:uid="{6792674F-6202-4F06-B096-91BE8173AE54}" name="Justering ift. Salærsats" dataDxfId="4"/>
    <tableColumn id="6" xr3:uid="{46F991F0-FC2D-4D11-9BDA-3DAC97CCA6FC}" name="Salær* faktor= Sats" dataDxfId="3"/>
    <tableColumn id="3" xr3:uid="{B1E84FBC-1299-44E7-8084-DAC80B3D9502}" name="Fastlege og fastlegevikar med prod.element" dataDxfId="2"/>
    <tableColumn id="8" xr3:uid="{D1ABF0CB-8496-4ABA-BBFC-BEC75D470CD7}" name="Fastlege og fastlegevikar uten  prod.element _x000a__x000a_ Introduksjonslege" dataDxfId="1"/>
    <tableColumn id="5" xr3:uid="{3EBA8E5A-F303-43C5-94E4-4DA799AF8654}" name="Allmennlege u/FLO 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C4E8A-BCAE-4538-81D7-4CB66B05AB9D}">
  <sheetPr>
    <tabColor theme="4"/>
  </sheetPr>
  <dimension ref="A1:J27"/>
  <sheetViews>
    <sheetView tabSelected="1" zoomScale="70" zoomScaleNormal="70" workbookViewId="0">
      <selection activeCell="B8" sqref="B8"/>
    </sheetView>
  </sheetViews>
  <sheetFormatPr baseColWidth="10" defaultColWidth="11.453125" defaultRowHeight="14.5" x14ac:dyDescent="0.35"/>
  <cols>
    <col min="1" max="1" width="33.7265625" customWidth="1"/>
    <col min="2" max="2" width="70.453125" customWidth="1"/>
    <col min="3" max="3" width="15.54296875" style="2" hidden="1" customWidth="1"/>
    <col min="4" max="4" width="12.81640625" hidden="1" customWidth="1"/>
    <col min="5" max="5" width="15.453125" hidden="1" customWidth="1"/>
    <col min="6" max="6" width="19.7265625" bestFit="1" customWidth="1"/>
    <col min="7" max="7" width="18.81640625" customWidth="1"/>
    <col min="8" max="8" width="15.453125" customWidth="1"/>
    <col min="9" max="9" width="14.453125" style="57" customWidth="1"/>
    <col min="10" max="10" width="17" customWidth="1"/>
    <col min="11" max="11" width="17.7265625" customWidth="1"/>
    <col min="12" max="12" width="19.54296875" customWidth="1"/>
  </cols>
  <sheetData>
    <row r="1" spans="1:10" ht="28.5" x14ac:dyDescent="0.65">
      <c r="A1" s="1" t="s">
        <v>0</v>
      </c>
    </row>
    <row r="2" spans="1:10" ht="28.5" x14ac:dyDescent="0.65">
      <c r="A2" s="1" t="s">
        <v>1</v>
      </c>
      <c r="B2" s="1" t="s">
        <v>1</v>
      </c>
      <c r="C2" s="3"/>
      <c r="H2" s="4"/>
      <c r="I2" s="4"/>
    </row>
    <row r="3" spans="1:10" ht="18.5" x14ac:dyDescent="0.45">
      <c r="A3" s="64" t="s">
        <v>2</v>
      </c>
      <c r="C3" s="5"/>
      <c r="D3" s="6"/>
      <c r="E3" s="6"/>
      <c r="H3" s="4"/>
      <c r="I3" s="4"/>
    </row>
    <row r="4" spans="1:10" x14ac:dyDescent="0.35">
      <c r="C4" s="4"/>
      <c r="D4" s="4"/>
      <c r="E4" s="4"/>
      <c r="F4" s="4"/>
      <c r="G4" s="4"/>
      <c r="H4" s="4"/>
      <c r="I4" s="4"/>
    </row>
    <row r="5" spans="1:10" ht="42" hidden="1" customHeight="1" x14ac:dyDescent="0.35">
      <c r="B5" s="7" t="s">
        <v>3</v>
      </c>
      <c r="C5" s="3"/>
      <c r="E5" s="9"/>
      <c r="F5" s="8">
        <v>1375</v>
      </c>
      <c r="G5" s="4"/>
      <c r="H5" s="4"/>
      <c r="I5" s="4"/>
    </row>
    <row r="6" spans="1:10" x14ac:dyDescent="0.35">
      <c r="A6" s="65" t="s">
        <v>4</v>
      </c>
      <c r="B6" s="66">
        <v>1</v>
      </c>
      <c r="C6" s="3"/>
      <c r="E6" s="9"/>
      <c r="G6" s="4"/>
      <c r="H6" s="4"/>
      <c r="I6" s="4"/>
    </row>
    <row r="7" spans="1:10" x14ac:dyDescent="0.35">
      <c r="A7" s="65" t="s">
        <v>5</v>
      </c>
      <c r="B7" s="67">
        <v>45809</v>
      </c>
      <c r="C7" s="3"/>
      <c r="E7" s="9"/>
      <c r="G7" s="4"/>
      <c r="H7" s="4"/>
      <c r="I7" s="4"/>
    </row>
    <row r="8" spans="1:10" x14ac:dyDescent="0.35">
      <c r="A8" s="65" t="s">
        <v>6</v>
      </c>
      <c r="B8" s="67">
        <v>46173</v>
      </c>
      <c r="C8" s="3"/>
      <c r="E8" s="9"/>
      <c r="G8" s="4"/>
      <c r="H8" s="4"/>
      <c r="I8" s="4"/>
    </row>
    <row r="9" spans="1:10" x14ac:dyDescent="0.35">
      <c r="A9" s="65" t="s">
        <v>7</v>
      </c>
      <c r="B9" s="59">
        <f>+B8-B7+1</f>
        <v>365</v>
      </c>
      <c r="C9" s="3"/>
      <c r="E9" s="9"/>
      <c r="G9" s="4"/>
      <c r="H9" s="4"/>
      <c r="I9" s="4"/>
    </row>
    <row r="10" spans="1:10" x14ac:dyDescent="0.35">
      <c r="B10" s="10"/>
      <c r="C10" s="3"/>
      <c r="H10" s="4"/>
      <c r="I10" s="4"/>
    </row>
    <row r="11" spans="1:10" ht="18.5" x14ac:dyDescent="0.45">
      <c r="C11" s="11" t="s">
        <v>8</v>
      </c>
      <c r="D11" s="12"/>
      <c r="E11" s="13"/>
      <c r="F11" s="69" t="s">
        <v>33</v>
      </c>
      <c r="G11" s="70"/>
      <c r="H11" s="71"/>
      <c r="I11" s="4"/>
    </row>
    <row r="12" spans="1:10" ht="75" customHeight="1" x14ac:dyDescent="0.45">
      <c r="A12" s="60" t="s">
        <v>9</v>
      </c>
      <c r="B12" s="60" t="s">
        <v>10</v>
      </c>
      <c r="C12" s="14" t="s">
        <v>11</v>
      </c>
      <c r="D12" s="14" t="s">
        <v>12</v>
      </c>
      <c r="E12" s="14" t="s">
        <v>13</v>
      </c>
      <c r="F12" s="15" t="s">
        <v>31</v>
      </c>
      <c r="G12" s="68" t="s">
        <v>34</v>
      </c>
      <c r="H12" s="16" t="s">
        <v>14</v>
      </c>
      <c r="I12"/>
    </row>
    <row r="13" spans="1:10" s="20" customFormat="1" ht="77.5" hidden="1" customHeight="1" x14ac:dyDescent="0.35">
      <c r="A13" s="17"/>
      <c r="B13" s="17" t="s">
        <v>15</v>
      </c>
      <c r="C13" s="17">
        <f>23*8</f>
        <v>184</v>
      </c>
      <c r="D13" s="17"/>
      <c r="E13" s="17">
        <f>8280/8</f>
        <v>1035</v>
      </c>
      <c r="F13" s="18">
        <f>+Tabell49445[[#This Row],[Salær* faktor= Sats]]*Tabell49445[[#This Row],[Ant. (dager/ timer)]]</f>
        <v>190440</v>
      </c>
      <c r="G13" s="18"/>
      <c r="H13" s="19"/>
    </row>
    <row r="14" spans="1:10" s="20" customFormat="1" ht="46.5" hidden="1" customHeight="1" x14ac:dyDescent="0.35">
      <c r="A14" s="17"/>
      <c r="B14" s="17" t="s">
        <v>16</v>
      </c>
      <c r="C14" s="17">
        <f>15*8</f>
        <v>120</v>
      </c>
      <c r="D14" s="17"/>
      <c r="E14" s="17">
        <f>8280/8</f>
        <v>1035</v>
      </c>
      <c r="F14" s="18">
        <f>+Tabell49445[[#This Row],[Salær* faktor= Sats]]*Tabell49445[[#This Row],[Ant. (dager/ timer)]]</f>
        <v>124200</v>
      </c>
      <c r="G14" s="18"/>
      <c r="H14" s="19"/>
    </row>
    <row r="15" spans="1:10" s="28" customFormat="1" ht="61.5" customHeight="1" x14ac:dyDescent="0.35">
      <c r="A15" s="61" t="s">
        <v>17</v>
      </c>
      <c r="B15" s="21" t="s">
        <v>18</v>
      </c>
      <c r="C15" s="22">
        <f>+((C14+C13)/2)+8</f>
        <v>160</v>
      </c>
      <c r="D15" s="23">
        <v>0.6</v>
      </c>
      <c r="E15" s="24">
        <f>+Tabell49445[[#This Row],[Justering ift. Salærsats]]*F5</f>
        <v>825</v>
      </c>
      <c r="F15" s="25">
        <f>+Tabell49445[[#This Row],[Salær* faktor= Sats]]*Tabell49445[[#This Row],[Ant. (dager/ timer)]]*$B$6*(+$B$9/365)</f>
        <v>132000</v>
      </c>
      <c r="G15" s="26">
        <f>+Tabell49445[[#This Row],[Salær* faktor= Sats]]*Tabell49445[[#This Row],[Ant. (dager/ timer)]]*$B$6*(+$B$9/365)</f>
        <v>132000</v>
      </c>
      <c r="H15" s="27">
        <v>0</v>
      </c>
      <c r="J15"/>
    </row>
    <row r="16" spans="1:10" ht="31" x14ac:dyDescent="0.35">
      <c r="A16" s="62" t="s">
        <v>19</v>
      </c>
      <c r="B16" s="29" t="s">
        <v>20</v>
      </c>
      <c r="C16" s="30">
        <v>2</v>
      </c>
      <c r="D16" s="30"/>
      <c r="E16" s="30">
        <v>7000</v>
      </c>
      <c r="F16" s="25">
        <f>+Tabell49445[[#This Row],[Salær* faktor= Sats]]*Tabell49445[[#This Row],[Ant. (dager/ timer)]]*B6*(B9/365)</f>
        <v>14000</v>
      </c>
      <c r="G16" s="25">
        <f>+Tabell49445[[#This Row],[Salær* faktor= Sats]]*Tabell49445[[#This Row],[Ant. (dager/ timer)]]*$B$6*(+$B$9/365)</f>
        <v>14000</v>
      </c>
      <c r="H16" s="31">
        <f>+Tabell49445[[#This Row],[Salær* faktor= Sats]]*Tabell49445[[#This Row],[Ant. (dager/ timer)]]*$B$6*(+$B$9/365)</f>
        <v>14000</v>
      </c>
      <c r="I16"/>
    </row>
    <row r="17" spans="1:10" ht="62" x14ac:dyDescent="0.35">
      <c r="A17" s="35" t="s">
        <v>35</v>
      </c>
      <c r="B17" s="32" t="s">
        <v>21</v>
      </c>
      <c r="C17" s="30"/>
      <c r="D17" s="30"/>
      <c r="E17" s="30"/>
      <c r="F17" s="58">
        <f>125000*$B$6*(+$B$9/365)</f>
        <v>125000</v>
      </c>
      <c r="G17" s="58">
        <v>0</v>
      </c>
      <c r="H17" s="58">
        <v>0</v>
      </c>
      <c r="I17"/>
    </row>
    <row r="18" spans="1:10" ht="15.5" x14ac:dyDescent="0.35">
      <c r="A18" s="35"/>
      <c r="B18" s="35" t="s">
        <v>32</v>
      </c>
      <c r="C18" s="36"/>
      <c r="D18" s="37"/>
      <c r="E18" s="36"/>
      <c r="F18" s="38">
        <f>SUBTOTAL(109,F13:F17)</f>
        <v>271000</v>
      </c>
      <c r="G18" s="38">
        <f>SUBTOTAL(109,G13:G17)</f>
        <v>146000</v>
      </c>
      <c r="H18" s="39">
        <f>SUBTOTAL(109,H13:H17)</f>
        <v>14000</v>
      </c>
      <c r="I18"/>
      <c r="J18" s="40"/>
    </row>
    <row r="19" spans="1:10" ht="77.5" x14ac:dyDescent="0.35">
      <c r="A19" s="62" t="s">
        <v>22</v>
      </c>
      <c r="B19" s="29" t="s">
        <v>23</v>
      </c>
      <c r="C19" s="33">
        <v>57.5</v>
      </c>
      <c r="D19" s="34">
        <v>1.1499999999999999</v>
      </c>
      <c r="E19" s="26">
        <f>+Tabell49445[[#This Row],[Justering ift. Salærsats]]*F5</f>
        <v>1581.2499999999998</v>
      </c>
      <c r="F19" s="26">
        <f>+Tabell49445[[#This Row],[Salær* faktor= Sats]]*Tabell49445[[#This Row],[Ant. (dager/ timer)]]*$B$6*(+$B$9/365)</f>
        <v>90921.874999999985</v>
      </c>
      <c r="G19" s="26">
        <f>+Tabell49445[[#This Row],[Salær* faktor= Sats]]*Tabell49445[[#This Row],[Ant. (dager/ timer)]]*$B$6*(+$B$9/365)</f>
        <v>90921.874999999985</v>
      </c>
      <c r="H19" s="27">
        <f>+Tabell49445[[#This Row],[Salær* faktor= Sats]]*Tabell49445[[#This Row],[Ant. (dager/ timer)]]*$B$6*(+$B$9/365)</f>
        <v>90921.874999999985</v>
      </c>
      <c r="I19"/>
    </row>
    <row r="20" spans="1:10" ht="31" x14ac:dyDescent="0.35">
      <c r="A20" s="35"/>
      <c r="B20" s="35" t="s">
        <v>24</v>
      </c>
      <c r="C20" s="36"/>
      <c r="D20" s="37"/>
      <c r="E20" s="36"/>
      <c r="F20" s="38">
        <f>SUBTOTAL(109,F15:F19)</f>
        <v>361921.875</v>
      </c>
      <c r="G20" s="38">
        <f>SUBTOTAL(109,G15:G19)</f>
        <v>236921.875</v>
      </c>
      <c r="H20" s="39">
        <f>SUBTOTAL(109,H15:H19)</f>
        <v>104921.87499999999</v>
      </c>
      <c r="I20"/>
      <c r="J20" s="40"/>
    </row>
    <row r="21" spans="1:10" s="46" customFormat="1" ht="31.5" thickBot="1" x14ac:dyDescent="0.4">
      <c r="A21" s="63" t="s">
        <v>25</v>
      </c>
      <c r="B21" s="41" t="s">
        <v>26</v>
      </c>
      <c r="C21" s="42"/>
      <c r="D21" s="43"/>
      <c r="E21" s="42"/>
      <c r="F21" s="44">
        <f>+F20*5%</f>
        <v>18096.09375</v>
      </c>
      <c r="G21" s="44">
        <f>+G20*5%</f>
        <v>11846.09375</v>
      </c>
      <c r="H21" s="45">
        <f>+H20*5%</f>
        <v>5246.09375</v>
      </c>
    </row>
    <row r="22" spans="1:10" ht="37.5" customHeight="1" x14ac:dyDescent="0.45">
      <c r="A22" s="47"/>
      <c r="B22" s="47" t="s">
        <v>27</v>
      </c>
      <c r="C22" s="48"/>
      <c r="D22" s="48"/>
      <c r="E22" s="48"/>
      <c r="F22" s="49">
        <f>+F21+F20</f>
        <v>380017.96875</v>
      </c>
      <c r="G22" s="49">
        <f>+G21+G20</f>
        <v>248767.96875</v>
      </c>
      <c r="H22" s="50">
        <f>+H21+H20</f>
        <v>110167.96874999999</v>
      </c>
      <c r="I22"/>
      <c r="J22" s="40"/>
    </row>
    <row r="23" spans="1:10" ht="37" x14ac:dyDescent="0.45">
      <c r="A23" s="51"/>
      <c r="B23" s="51" t="s">
        <v>28</v>
      </c>
      <c r="C23" s="43"/>
      <c r="D23" s="43"/>
      <c r="E23" s="43"/>
      <c r="F23" s="26">
        <f>$B$6*200000*(+$B$9/365)</f>
        <v>200000</v>
      </c>
      <c r="G23" s="26">
        <f t="shared" ref="G23:H23" si="0">$B$6*200000*(+$B$9/365)</f>
        <v>200000</v>
      </c>
      <c r="H23" s="26">
        <f t="shared" si="0"/>
        <v>200000</v>
      </c>
      <c r="I23"/>
    </row>
    <row r="24" spans="1:10" ht="18.5" x14ac:dyDescent="0.45">
      <c r="A24" s="51"/>
      <c r="B24" s="51" t="s">
        <v>29</v>
      </c>
      <c r="C24" s="43"/>
      <c r="D24" s="43"/>
      <c r="E24" s="43"/>
      <c r="F24" s="52">
        <f>+F22+F23</f>
        <v>580017.96875</v>
      </c>
      <c r="G24" s="52">
        <f>+G22+G23</f>
        <v>448767.96875</v>
      </c>
      <c r="H24" s="53">
        <f>+H22+H23</f>
        <v>310167.96875</v>
      </c>
      <c r="I24"/>
    </row>
    <row r="25" spans="1:10" ht="19" thickBot="1" x14ac:dyDescent="0.5">
      <c r="A25" s="54"/>
      <c r="B25" s="54" t="s">
        <v>30</v>
      </c>
      <c r="C25" s="43"/>
      <c r="D25" s="43"/>
      <c r="E25" s="43"/>
      <c r="F25" s="55">
        <f>+F19</f>
        <v>90921.874999999985</v>
      </c>
      <c r="G25" s="55">
        <f>+G19</f>
        <v>90921.874999999985</v>
      </c>
      <c r="H25" s="56">
        <f>+H19</f>
        <v>90921.874999999985</v>
      </c>
      <c r="I25"/>
    </row>
    <row r="27" spans="1:10" x14ac:dyDescent="0.35">
      <c r="A27" t="s">
        <v>36</v>
      </c>
    </row>
  </sheetData>
  <sheetProtection sheet="1" objects="1" scenarios="1" selectLockedCells="1"/>
  <mergeCells count="1">
    <mergeCell ref="F11:H11"/>
  </mergeCells>
  <pageMargins left="0.7" right="0.7" top="0.75" bottom="0.75" header="0.3" footer="0.3"/>
  <pageSetup paperSize="9" orientation="portrait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1B9EA82EC37A04689A901802C856F15" ma:contentTypeVersion="16" ma:contentTypeDescription="Opprett et nytt dokument." ma:contentTypeScope="" ma:versionID="b2fe15a6fd49aa48eea2cbcf361ac91c">
  <xsd:schema xmlns:xsd="http://www.w3.org/2001/XMLSchema" xmlns:xs="http://www.w3.org/2001/XMLSchema" xmlns:p="http://schemas.microsoft.com/office/2006/metadata/properties" xmlns:ns2="6ba12e6c-9d1d-4076-b9f4-ed58d27a1c66" xmlns:ns3="ab580d11-2308-4d7c-8f13-506df5de579e" targetNamespace="http://schemas.microsoft.com/office/2006/metadata/properties" ma:root="true" ma:fieldsID="f4f92f3b79236078ad40bbdaa7adf9bf" ns2:_="" ns3:_="">
    <xsd:import namespace="6ba12e6c-9d1d-4076-b9f4-ed58d27a1c66"/>
    <xsd:import namespace="ab580d11-2308-4d7c-8f13-506df5de57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Eieravdel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a12e6c-9d1d-4076-b9f4-ed58d27a1c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44bd27e2-62de-4af1-85f7-19d8bf2bfc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Eieravdeling" ma:index="23" nillable="true" ma:displayName="Eieravdeling" ma:format="Dropdown" ma:internalName="Eieravdeling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580d11-2308-4d7c-8f13-506df5de579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382e5a1-355e-44a2-b1c2-a4667697515a}" ma:internalName="TaxCatchAll" ma:showField="CatchAllData" ma:web="ab580d11-2308-4d7c-8f13-506df5de57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a12e6c-9d1d-4076-b9f4-ed58d27a1c66">
      <Terms xmlns="http://schemas.microsoft.com/office/infopath/2007/PartnerControls"/>
    </lcf76f155ced4ddcb4097134ff3c332f>
    <TaxCatchAll xmlns="ab580d11-2308-4d7c-8f13-506df5de579e" xsi:nil="true"/>
    <Eieravdeling xmlns="6ba12e6c-9d1d-4076-b9f4-ed58d27a1c6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D6CA2C-AB46-4267-89B1-31AC87FECB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a12e6c-9d1d-4076-b9f4-ed58d27a1c66"/>
    <ds:schemaRef ds:uri="ab580d11-2308-4d7c-8f13-506df5de57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FC88F5-707D-4892-A92F-3A612779947E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ab580d11-2308-4d7c-8f13-506df5de579e"/>
    <ds:schemaRef ds:uri="6ba12e6c-9d1d-4076-b9f4-ed58d27a1c6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0C6ACCD-DF9E-4FEE-B225-BC48A7A7331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ba1bd5c-750f-4ad6-aba3-0f95585bc21f}" enabled="0" method="" siteId="{6ba1bd5c-750f-4ad6-aba3-0f95585bc21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Kalkulator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Ellen Starberg Larsen</dc:creator>
  <cp:keywords/>
  <dc:description/>
  <cp:lastModifiedBy>Teresa Phuong Vy Tran</cp:lastModifiedBy>
  <cp:revision/>
  <dcterms:created xsi:type="dcterms:W3CDTF">2026-04-13T11:38:02Z</dcterms:created>
  <dcterms:modified xsi:type="dcterms:W3CDTF">2026-06-01T13:21:17Z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0x01010041B9EA82EC37A04689A901802C856F15</vt:lpwstr>
  </property>
  <property fmtid="{D5CDD505-2E9C-101B-9397-08002B2CF9AE}" pid="3" name="MediaServiceImageTags">
    <vt:lpwstr/>
  </property>
</Properties>
</file>