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425" tabRatio="922" activeTab="0"/>
  </bookViews>
  <sheets>
    <sheet name="Tabell 1" sheetId="1" r:id="rId1"/>
    <sheet name="Tabell 2" sheetId="2" r:id="rId2"/>
    <sheet name="Tabell 3" sheetId="3" r:id="rId3"/>
    <sheet name="Tabell 4" sheetId="4" r:id="rId4"/>
    <sheet name="Tabell 5" sheetId="5" r:id="rId5"/>
    <sheet name="Tabell 6" sheetId="6" r:id="rId6"/>
    <sheet name="Tabell 7 ny" sheetId="7" r:id="rId7"/>
    <sheet name="Figur 1" sheetId="8" r:id="rId8"/>
    <sheet name="Tabell 8" sheetId="9" r:id="rId9"/>
    <sheet name="Tabell 9" sheetId="10" r:id="rId10"/>
    <sheet name="Figur 2" sheetId="11" r:id="rId11"/>
    <sheet name="Tabell 10" sheetId="12" r:id="rId12"/>
    <sheet name="Tabell 11" sheetId="13" r:id="rId13"/>
    <sheet name="Tabell 12" sheetId="14" r:id="rId14"/>
    <sheet name="Kompatibilitetsrapport" sheetId="15" r:id="rId15"/>
  </sheets>
  <definedNames>
    <definedName name="_xlfn.IFERROR" hidden="1">#NAME?</definedName>
    <definedName name="_xlnm.Print_Area" localSheetId="7">'Figur 1'!$A$1:$G$19</definedName>
    <definedName name="_xlnm.Print_Area" localSheetId="0">'Tabell 1'!$A$1:$E$42</definedName>
    <definedName name="_xlnm.Print_Area" localSheetId="11">'Tabell 10'!$A:$F</definedName>
    <definedName name="_xlnm.Print_Area" localSheetId="12">'Tabell 11'!$A$31:$K$61</definedName>
    <definedName name="_xlnm.Print_Area" localSheetId="13">'Tabell 12'!$A$1:$I$30</definedName>
    <definedName name="_xlnm.Print_Area" localSheetId="1">'Tabell 2'!$A$1:$P$84</definedName>
    <definedName name="_xlnm.Print_Area" localSheetId="4">'Tabell 5'!$A:$H</definedName>
    <definedName name="_xlnm.Print_Area" localSheetId="5">'Tabell 6'!$A$1:$G$87</definedName>
  </definedNames>
  <calcPr fullCalcOnLoad="1"/>
</workbook>
</file>

<file path=xl/sharedStrings.xml><?xml version="1.0" encoding="utf-8"?>
<sst xmlns="http://schemas.openxmlformats.org/spreadsheetml/2006/main" count="2484" uniqueCount="463">
  <si>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</si>
  <si>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</si>
  <si>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</si>
  <si>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</si>
  <si>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</si>
  <si>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</si>
  <si>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</si>
  <si>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</si>
  <si>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</si>
  <si>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</si>
  <si>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</si>
  <si>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</si>
  <si>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</si>
  <si>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</si>
  <si>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</si>
  <si>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Nordland</t>
  </si>
  <si>
    <t>Troms</t>
  </si>
  <si>
    <t>Finnmark</t>
  </si>
  <si>
    <t>Antall innbyggere</t>
  </si>
  <si>
    <t>fastlegeordningen</t>
  </si>
  <si>
    <t>i fastlegeordningen</t>
  </si>
  <si>
    <t>som ikke deltar i</t>
  </si>
  <si>
    <t>liste, men som deltar</t>
  </si>
  <si>
    <t>Hele landet</t>
  </si>
  <si>
    <t>Antall</t>
  </si>
  <si>
    <t>åpne</t>
  </si>
  <si>
    <t>lister</t>
  </si>
  <si>
    <t>Antall åpne</t>
  </si>
  <si>
    <t>som har plass</t>
  </si>
  <si>
    <t>lege</t>
  </si>
  <si>
    <t>som ikke har plass på</t>
  </si>
  <si>
    <t>Antall deltakere</t>
  </si>
  <si>
    <t>i</t>
  </si>
  <si>
    <t>-</t>
  </si>
  <si>
    <t>fastlegepraksiser</t>
  </si>
  <si>
    <t>siste kvartal</t>
  </si>
  <si>
    <t>legebytter</t>
  </si>
  <si>
    <t>kvartal</t>
  </si>
  <si>
    <t>Antall lister</t>
  </si>
  <si>
    <t>listeplasser</t>
  </si>
  <si>
    <t>ledige</t>
  </si>
  <si>
    <t>tilknyttes</t>
  </si>
  <si>
    <t>årsaker</t>
  </si>
  <si>
    <t>etter eget</t>
  </si>
  <si>
    <t>ønske siste</t>
  </si>
  <si>
    <t>ii) Se fotnote i) til tabell 1.</t>
  </si>
  <si>
    <r>
      <t>fastlegeordningen</t>
    </r>
    <r>
      <rPr>
        <vertAlign val="superscript"/>
        <sz val="10"/>
        <rFont val="Arial"/>
        <family val="2"/>
      </rPr>
      <t>ii)</t>
    </r>
  </si>
  <si>
    <t>Ordinære</t>
  </si>
  <si>
    <t>fastleger</t>
  </si>
  <si>
    <t>fastlege-</t>
  </si>
  <si>
    <t>Mannlige</t>
  </si>
  <si>
    <t>Kvinnelige</t>
  </si>
  <si>
    <t>leger</t>
  </si>
  <si>
    <r>
      <t>12.01.2001</t>
    </r>
    <r>
      <rPr>
        <vertAlign val="superscript"/>
        <sz val="10"/>
        <rFont val="Arial"/>
        <family val="2"/>
      </rPr>
      <t>i)</t>
    </r>
  </si>
  <si>
    <t>iv)</t>
  </si>
  <si>
    <t>i) Opprettelsen av fastlegeregisteret.</t>
  </si>
  <si>
    <t>v)</t>
  </si>
  <si>
    <t xml:space="preserve">Gjennomsnittlig </t>
  </si>
  <si>
    <t>antall innbyggere</t>
  </si>
  <si>
    <t>på lister</t>
  </si>
  <si>
    <t>innbyggere</t>
  </si>
  <si>
    <t>på liste hos</t>
  </si>
  <si>
    <t>fastlege</t>
  </si>
  <si>
    <t>med listeplass</t>
  </si>
  <si>
    <t>hos fastlege</t>
  </si>
  <si>
    <t>med plass på</t>
  </si>
  <si>
    <r>
      <t>14.05.2001</t>
    </r>
    <r>
      <rPr>
        <vertAlign val="superscript"/>
        <sz val="10"/>
        <rFont val="Arial"/>
        <family val="2"/>
      </rPr>
      <t>i)</t>
    </r>
  </si>
  <si>
    <t>i) Første gangs fordeling.</t>
  </si>
  <si>
    <t>uten</t>
  </si>
  <si>
    <t>listeplass</t>
  </si>
  <si>
    <t>som ikke deltar</t>
  </si>
  <si>
    <t>i fastlege-</t>
  </si>
  <si>
    <t>ordningen</t>
  </si>
  <si>
    <t>kvinnelige</t>
  </si>
  <si>
    <t>felleslister</t>
  </si>
  <si>
    <t>og eldre</t>
  </si>
  <si>
    <t>mannlig lege</t>
  </si>
  <si>
    <t>fastlege,</t>
  </si>
  <si>
    <t>kvinnelig lege</t>
  </si>
  <si>
    <t>Andel kvinnelige fastleger</t>
  </si>
  <si>
    <t>Andel fastleger 20-29 år</t>
  </si>
  <si>
    <t>Andel fastleger 30-39 år</t>
  </si>
  <si>
    <t>Andel fastleger 40-54 år</t>
  </si>
  <si>
    <t>Andel fastleger 55-66 år</t>
  </si>
  <si>
    <t>Andel fastleger 67 år og eldre</t>
  </si>
  <si>
    <t>Teller</t>
  </si>
  <si>
    <t>Nevner</t>
  </si>
  <si>
    <t>20-29 år</t>
  </si>
  <si>
    <t>67 år</t>
  </si>
  <si>
    <t>30-39 år</t>
  </si>
  <si>
    <t>40-54 år</t>
  </si>
  <si>
    <t>55-66 år</t>
  </si>
  <si>
    <t>mannlige</t>
  </si>
  <si>
    <t>Tabell 5 Utviklingen i fastlegenes fordeling etter kjønn og alder</t>
  </si>
  <si>
    <t>Antall ledige</t>
  </si>
  <si>
    <t>plasser på</t>
  </si>
  <si>
    <t>fastlegeavtaler</t>
  </si>
  <si>
    <t>som har vært</t>
  </si>
  <si>
    <t>med fastlønn</t>
  </si>
  <si>
    <t>medisin</t>
  </si>
  <si>
    <t>i allmenn-</t>
  </si>
  <si>
    <t>i samfunns-</t>
  </si>
  <si>
    <t>spesialiteter</t>
  </si>
  <si>
    <t>betjent av</t>
  </si>
  <si>
    <t>vikarer i løpet</t>
  </si>
  <si>
    <t>spesialist</t>
  </si>
  <si>
    <t>som er</t>
  </si>
  <si>
    <t>begge</t>
  </si>
  <si>
    <t>som har</t>
  </si>
  <si>
    <t>Tabell 9 Antall fastlegebytter per kvartal</t>
  </si>
  <si>
    <r>
      <t>Andel</t>
    </r>
    <r>
      <rPr>
        <vertAlign val="superscript"/>
        <sz val="10"/>
        <rFont val="Arial"/>
        <family val="2"/>
      </rPr>
      <t>ii)</t>
    </r>
    <r>
      <rPr>
        <sz val="10"/>
        <rFont val="Arial"/>
        <family val="0"/>
      </rPr>
      <t xml:space="preserve"> legebytter etter innbyggerens</t>
    </r>
  </si>
  <si>
    <t xml:space="preserve"> fastlønn</t>
  </si>
  <si>
    <t>deltakere i</t>
  </si>
  <si>
    <t>i alt</t>
  </si>
  <si>
    <t>fastlegeordningen og antall innbyggere som har reservert seg mot å delta. Dette avviker</t>
  </si>
  <si>
    <t>i) Befolkningen er her definert som summen av antall innbyggere som deltar i</t>
  </si>
  <si>
    <t>fra tallene i SSBs befolkningsstatistikk bl.a. fordi også asylsøkere og deres familier har</t>
  </si>
  <si>
    <t>rett til fastlege.</t>
  </si>
  <si>
    <t>ii)</t>
  </si>
  <si>
    <r>
      <t>21.03.2001</t>
    </r>
    <r>
      <rPr>
        <vertAlign val="superscript"/>
        <sz val="10"/>
        <rFont val="Arial"/>
        <family val="2"/>
      </rPr>
      <t>iii)</t>
    </r>
  </si>
  <si>
    <r>
      <t>14.05.2001</t>
    </r>
    <r>
      <rPr>
        <vertAlign val="superscript"/>
        <sz val="10"/>
        <rFont val="Arial"/>
        <family val="2"/>
      </rPr>
      <t>iv)</t>
    </r>
  </si>
  <si>
    <t>iii) Det reviderte fastlegeregisteret som ble benyttet ved første gangs fordeling.</t>
  </si>
  <si>
    <t>iv) Første gangs fordeling.</t>
  </si>
  <si>
    <t>v) Sammenlignbare tall er ikke tilgjengelig.</t>
  </si>
  <si>
    <t>iii)</t>
  </si>
  <si>
    <r>
      <t>14.05.2001</t>
    </r>
    <r>
      <rPr>
        <vertAlign val="superscript"/>
        <sz val="10"/>
        <rFont val="Arial"/>
        <family val="2"/>
      </rPr>
      <t>v)</t>
    </r>
  </si>
  <si>
    <t>ii) Sammenlignbare tall er ikke tilgjengelig.</t>
  </si>
  <si>
    <t>v) Første gangs fordeling.</t>
  </si>
  <si>
    <t>(inkl. lister</t>
  </si>
  <si>
    <r>
      <t>Andel</t>
    </r>
    <r>
      <rPr>
        <vertAlign val="superscript"/>
        <sz val="10"/>
        <rFont val="Arial"/>
        <family val="2"/>
      </rPr>
      <t>i)</t>
    </r>
    <r>
      <rPr>
        <sz val="10"/>
        <rFont val="Arial"/>
        <family val="2"/>
      </rPr>
      <t xml:space="preserve"> ledige</t>
    </r>
  </si>
  <si>
    <t>Andel av</t>
  </si>
  <si>
    <t>deltakerne som</t>
  </si>
  <si>
    <t>befolkningen</t>
  </si>
  <si>
    <t>ønske</t>
  </si>
  <si>
    <t>pga. avsluttet/</t>
  </si>
  <si>
    <t>redusert praksis</t>
  </si>
  <si>
    <t>praksis</t>
  </si>
  <si>
    <t>redusert</t>
  </si>
  <si>
    <t>som er del av</t>
  </si>
  <si>
    <t>iv) Sammenlignbare tall er ikke tilgjengelig.</t>
  </si>
  <si>
    <t>ii) Ingen fordeling var foretatt på dette tidspunkt.</t>
  </si>
  <si>
    <t>Tabell 8 Tilgang og avgang av fastleger og deltakere per kvartal</t>
  </si>
  <si>
    <t>avsluttede</t>
  </si>
  <si>
    <t>Antall nye</t>
  </si>
  <si>
    <t>seg ut av</t>
  </si>
  <si>
    <t>listeplassen</t>
  </si>
  <si>
    <t>uten å få en ny</t>
  </si>
  <si>
    <t>3. kvartal 2001</t>
  </si>
  <si>
    <t>4. kvartal 2001</t>
  </si>
  <si>
    <t>1. kvartal 2002</t>
  </si>
  <si>
    <t>2. kvartal 2002</t>
  </si>
  <si>
    <t>3. kvartal 2002</t>
  </si>
  <si>
    <t>4. kvartal 2002</t>
  </si>
  <si>
    <t>1. kvartal 2003</t>
  </si>
  <si>
    <t>2. kvartal 2003</t>
  </si>
  <si>
    <t>foresattes</t>
  </si>
  <si>
    <t>Redusert</t>
  </si>
  <si>
    <t>Avsluttet</t>
  </si>
  <si>
    <t>Avsluttede fastlegeavtaler</t>
  </si>
  <si>
    <t>I alt</t>
  </si>
  <si>
    <t>67-74 år</t>
  </si>
  <si>
    <t>Andel</t>
  </si>
  <si>
    <t>Lister</t>
  </si>
  <si>
    <t>Under</t>
  </si>
  <si>
    <t>40 år</t>
  </si>
  <si>
    <t>55 år</t>
  </si>
  <si>
    <t>listene er blitt</t>
  </si>
  <si>
    <t>Fastlege-</t>
  </si>
  <si>
    <t>lister i alt</t>
  </si>
  <si>
    <t>Antall innbyggere listene er blitt redusert med</t>
  </si>
  <si>
    <t>Alle lister</t>
  </si>
  <si>
    <t>Antall fastleger</t>
  </si>
  <si>
    <t>som har redusert</t>
  </si>
  <si>
    <t>i) Avvik i forhold til kolonnen "Redusert praksis" i tabell 9 skyldes at reduksjon av antall innbyggere</t>
  </si>
  <si>
    <r>
      <t>redusert med</t>
    </r>
    <r>
      <rPr>
        <vertAlign val="superscript"/>
        <sz val="10"/>
        <rFont val="Arial"/>
        <family val="2"/>
      </rPr>
      <t>i)</t>
    </r>
  </si>
  <si>
    <t>på lister uten lege ikke er med i tallene over.</t>
  </si>
  <si>
    <t>faktisk antall</t>
  </si>
  <si>
    <t>på listen</t>
  </si>
  <si>
    <t>legene som</t>
  </si>
  <si>
    <t>er kvinner</t>
  </si>
  <si>
    <t>er under</t>
  </si>
  <si>
    <t>er 55 år</t>
  </si>
  <si>
    <t>Tabell 1 Nøkkeltall for fastlegeordningen. Prosentvis andel der ikke annet er oppgitt</t>
  </si>
  <si>
    <t>Andel av deltakerne som har plass på</t>
  </si>
  <si>
    <t xml:space="preserve"> liste hos fastlege</t>
  </si>
  <si>
    <t>Andel av deltakerne som ikke har</t>
  </si>
  <si>
    <t xml:space="preserve"> plass på liste</t>
  </si>
  <si>
    <t xml:space="preserve"> eget ønske siste kvartal</t>
  </si>
  <si>
    <t xml:space="preserve"> allmennmedisin</t>
  </si>
  <si>
    <t xml:space="preserve"> samfunnsmedisin</t>
  </si>
  <si>
    <t xml:space="preserve"> spesialiteter</t>
  </si>
  <si>
    <t xml:space="preserve"> redusert praksis siste kvartal</t>
  </si>
  <si>
    <t xml:space="preserve"> fastlegeordningen er suspendert</t>
  </si>
  <si>
    <t>Antall kommuner hvor</t>
  </si>
  <si>
    <t xml:space="preserve"> av felleslister</t>
  </si>
  <si>
    <t xml:space="preserve"> vært betjent av vikar siste kvartal</t>
  </si>
  <si>
    <t xml:space="preserve"> ønsker å delta i fastlegeordningen</t>
  </si>
  <si>
    <r>
      <t>Andel av befolkningen</t>
    </r>
    <r>
      <rPr>
        <vertAlign val="superscript"/>
        <sz val="10"/>
        <rFont val="Arial"/>
        <family val="2"/>
      </rPr>
      <t>i)</t>
    </r>
    <r>
      <rPr>
        <sz val="10"/>
        <rFont val="Arial"/>
        <family val="0"/>
      </rPr>
      <t xml:space="preserve"> som ikke</t>
    </r>
  </si>
  <si>
    <t>Totalt</t>
  </si>
  <si>
    <t>innbyggere per fastlegeliste</t>
  </si>
  <si>
    <t>Gjennomsnittlig antall</t>
  </si>
  <si>
    <t>iii) Fastlegeordningen var ikke iverksatt på dette tidspunkt.</t>
  </si>
  <si>
    <t>av kvartalet</t>
  </si>
  <si>
    <t>Tabell 7 Utviklingen i antall innbyggere med listeplass mv.</t>
  </si>
  <si>
    <t>deltakere</t>
  </si>
  <si>
    <t>antall</t>
  </si>
  <si>
    <t>bytter</t>
  </si>
  <si>
    <t>flytting</t>
  </si>
  <si>
    <t>Antall bytter etter innbyggerens eget ønske</t>
  </si>
  <si>
    <t>Barn</t>
  </si>
  <si>
    <t>ikke har plass</t>
  </si>
  <si>
    <t>på liste</t>
  </si>
  <si>
    <t>bosatte i Norge, men uten fast bopel.</t>
  </si>
  <si>
    <t>3. kvartal 2003</t>
  </si>
  <si>
    <t>Nye fastlegeavtaler</t>
  </si>
  <si>
    <t>Sum alle kvartaler</t>
  </si>
  <si>
    <t>4. kvartal 2003</t>
  </si>
  <si>
    <t>Antall praksiser hvor faktisk antall innbyggere er blitt redusert</t>
  </si>
  <si>
    <t>Bostedsfylke</t>
  </si>
  <si>
    <t>Antall "innbyggere</t>
  </si>
  <si>
    <t>i alt"</t>
  </si>
  <si>
    <t>MERK:</t>
  </si>
  <si>
    <t>Avsluttede</t>
  </si>
  <si>
    <t>med åpen</t>
  </si>
  <si>
    <t>liste</t>
  </si>
  <si>
    <t>To eller flere</t>
  </si>
  <si>
    <t>suspendert</t>
  </si>
  <si>
    <t>ordningen er</t>
  </si>
  <si>
    <t>Per 30. juni 2001:</t>
  </si>
  <si>
    <r>
      <t>Nord-Trøndelag</t>
    </r>
    <r>
      <rPr>
        <vertAlign val="superscript"/>
        <sz val="10"/>
        <rFont val="Arial"/>
        <family val="2"/>
      </rPr>
      <t>i)</t>
    </r>
  </si>
  <si>
    <r>
      <t>Buskerud</t>
    </r>
    <r>
      <rPr>
        <vertAlign val="superscript"/>
        <sz val="10"/>
        <rFont val="Arial"/>
        <family val="2"/>
      </rPr>
      <t>i)</t>
    </r>
  </si>
  <si>
    <t>fastleger,</t>
  </si>
  <si>
    <t>ikke</t>
  </si>
  <si>
    <t>Kommunen</t>
  </si>
  <si>
    <t>har ingen</t>
  </si>
  <si>
    <t>har kun én</t>
  </si>
  <si>
    <t>har flere</t>
  </si>
  <si>
    <t>Én fastlege med åpen liste</t>
  </si>
  <si>
    <t>i) I tillegg kommer én kommune i Buskerud og én i Nord-Trøndelag som ikke har egne fastleger,</t>
  </si>
  <si>
    <t>men som tilbyr innbyggerne fastlege gjennom samarbeid med nabokommuner.</t>
  </si>
  <si>
    <t>Antall kommuner hvor færre enn to</t>
  </si>
  <si>
    <t xml:space="preserve"> fastleger har åpne lister</t>
  </si>
  <si>
    <t>1. kvartal 2004</t>
  </si>
  <si>
    <t>Per 31. desember 2003:</t>
  </si>
  <si>
    <t>Per 30. juni 2003:</t>
  </si>
  <si>
    <t>Per 31. desember 2002:</t>
  </si>
  <si>
    <t>Per 30. juni 2002:</t>
  </si>
  <si>
    <t>Per 31. desember 2001:</t>
  </si>
  <si>
    <t>Ingen fastleger hadde åpen liste</t>
  </si>
  <si>
    <t>2. kvartal 2004</t>
  </si>
  <si>
    <t>Per 31. mars 2004:</t>
  </si>
  <si>
    <t>3. kvartal 2004</t>
  </si>
  <si>
    <t>Per 30. juni 2004:</t>
  </si>
  <si>
    <t>som mistet</t>
  </si>
  <si>
    <t>som meldte</t>
  </si>
  <si>
    <t>seg inn i</t>
  </si>
  <si>
    <t>Andel åpne</t>
  </si>
  <si>
    <t>4. kvartal 2004</t>
  </si>
  <si>
    <t>Per 30. september 2004:</t>
  </si>
  <si>
    <r>
      <t>kommuner</t>
    </r>
    <r>
      <rPr>
        <vertAlign val="superscript"/>
        <sz val="10"/>
        <rFont val="Arial"/>
        <family val="2"/>
      </rPr>
      <t>i)</t>
    </r>
  </si>
  <si>
    <t>1. kvartal 2005</t>
  </si>
  <si>
    <t>Per 31. desember 2004:</t>
  </si>
  <si>
    <t>2. kvartal 2005</t>
  </si>
  <si>
    <t>Per 31. mars 2005:</t>
  </si>
  <si>
    <t>3. kvartal 2005</t>
  </si>
  <si>
    <t>Per 30. juni 2005:</t>
  </si>
  <si>
    <t>4. kvartal 2005</t>
  </si>
  <si>
    <t>Per 30. september 2005:</t>
  </si>
  <si>
    <t>Tabell 10 Tildelte bytter av fastlege som følge av at fastlegen reduserer faktisk antall innbyggere på listen</t>
  </si>
  <si>
    <t>til ny</t>
  </si>
  <si>
    <t>kommune</t>
  </si>
  <si>
    <t>etter</t>
  </si>
  <si>
    <t>tildeling</t>
  </si>
  <si>
    <r>
      <t>Andel</t>
    </r>
    <r>
      <rPr>
        <vertAlign val="superscript"/>
        <sz val="10"/>
        <rFont val="Arial"/>
        <family val="2"/>
      </rPr>
      <t>ii)</t>
    </r>
    <r>
      <rPr>
        <sz val="10"/>
        <rFont val="Arial"/>
        <family val="0"/>
      </rPr>
      <t xml:space="preserve"> tildelte legebytter pga. avsluttet/</t>
    </r>
  </si>
  <si>
    <t>Bytter pga</t>
  </si>
  <si>
    <t>Nye bytter</t>
  </si>
  <si>
    <t>etter tildeling</t>
  </si>
  <si>
    <t>pga avsluttet</t>
  </si>
  <si>
    <t>pga redusert</t>
  </si>
  <si>
    <t>Andel av fastlegepraksisene som har</t>
  </si>
  <si>
    <t>Andel av fastlegepraksisene som er del</t>
  </si>
  <si>
    <t>praksiser</t>
  </si>
  <si>
    <t>praksiser,</t>
  </si>
  <si>
    <t>på listene</t>
  </si>
  <si>
    <t>listene</t>
  </si>
  <si>
    <t>Tabell 6 Utviklingen i enkelte kjennetegn ved fastlegene og fastlegepraksisene</t>
  </si>
  <si>
    <t>Praksisfylke</t>
  </si>
  <si>
    <t>Figur 1 Nye og avsluttede fastlegepraksiser. Prosentvis andel av legene som er under 40 år</t>
  </si>
  <si>
    <t>Nye praksiser</t>
  </si>
  <si>
    <t>1. kvartal 2006</t>
  </si>
  <si>
    <t>Per 31. desember 2005:</t>
  </si>
  <si>
    <t>første gangs</t>
  </si>
  <si>
    <t>Per 31. mars 2006:</t>
  </si>
  <si>
    <t>2. kvartal 2006</t>
  </si>
  <si>
    <t>Fastlegenes gjennomsnittsalder</t>
  </si>
  <si>
    <t>1. kvartal</t>
  </si>
  <si>
    <t>2. kvartal</t>
  </si>
  <si>
    <t>3. kvartal</t>
  </si>
  <si>
    <t>4. kvartal</t>
  </si>
  <si>
    <t>3. kvartal 2006</t>
  </si>
  <si>
    <t>Per 30. juni 2006:</t>
  </si>
  <si>
    <t>4. kvartal 2006</t>
  </si>
  <si>
    <t>Per 30. september 2006:</t>
  </si>
  <si>
    <t>Andre</t>
  </si>
  <si>
    <t>1. kvartal 2007</t>
  </si>
  <si>
    <t>Per 31. desember 2006:</t>
  </si>
  <si>
    <t>andre</t>
  </si>
  <si>
    <t>Per 31. mars 2007:</t>
  </si>
  <si>
    <t>2. kvartal 2007</t>
  </si>
  <si>
    <t>3. kvartal 2007</t>
  </si>
  <si>
    <t>4. kvartal 2007</t>
  </si>
  <si>
    <t>Per 30. juni 2007:</t>
  </si>
  <si>
    <t>Per 30. september 2007:</t>
  </si>
  <si>
    <t>på åpne</t>
  </si>
  <si>
    <t>fastlegelister</t>
  </si>
  <si>
    <t>fastlegeliste</t>
  </si>
  <si>
    <t>som har plass på</t>
  </si>
  <si>
    <t>(inkl lister</t>
  </si>
  <si>
    <t>på liste uten</t>
  </si>
  <si>
    <t>Andel av fastlegelistene som er åpne</t>
  </si>
  <si>
    <r>
      <t>Andel</t>
    </r>
    <r>
      <rPr>
        <vertAlign val="superscript"/>
        <sz val="10"/>
        <rFont val="Arial"/>
        <family val="2"/>
      </rPr>
      <t>iii)</t>
    </r>
    <r>
      <rPr>
        <sz val="10"/>
        <rFont val="Arial"/>
        <family val="0"/>
      </rPr>
      <t xml:space="preserve"> ledige plasser på åpne fastlegelister</t>
    </r>
  </si>
  <si>
    <t>iv) Legebytter i løpet av mai-juni 2001.</t>
  </si>
  <si>
    <t>ii) Andelene er beregnet i forhold til antall innbyggere med listeplass.</t>
  </si>
  <si>
    <t>iii) Beregnet i forhold til summen av antall fylte plasser på fastlegelister og antall ledige plasser på åpne fastlegelister.</t>
  </si>
  <si>
    <t>Antall fylte</t>
  </si>
  <si>
    <t>plasser og</t>
  </si>
  <si>
    <t>ledige plasser</t>
  </si>
  <si>
    <t>iv) Dette kan f eks være asylsøkere og deres familier som ikke er registrert med bostedskommune, samt andre personer som er registrert som</t>
  </si>
  <si>
    <t>i) Se fotnote iii) til tabell 1.</t>
  </si>
  <si>
    <t>iii) Se fotnote ii) til tabell 1.</t>
  </si>
  <si>
    <r>
      <t>Ikke registrert fylke</t>
    </r>
    <r>
      <rPr>
        <vertAlign val="superscript"/>
        <sz val="10"/>
        <rFont val="Arial"/>
        <family val="2"/>
      </rPr>
      <t>iv)</t>
    </r>
  </si>
  <si>
    <r>
      <t>Andel</t>
    </r>
    <r>
      <rPr>
        <vertAlign val="superscript"/>
        <sz val="10"/>
        <rFont val="Arial"/>
        <family val="2"/>
      </rPr>
      <t>iii)</t>
    </r>
    <r>
      <rPr>
        <sz val="10"/>
        <rFont val="Arial"/>
        <family val="2"/>
      </rPr>
      <t xml:space="preserve"> legebytter</t>
    </r>
  </si>
  <si>
    <t>1. kvartal 2008</t>
  </si>
  <si>
    <t>Per 31. desember 2007:</t>
  </si>
  <si>
    <t>2. kvartal 2008</t>
  </si>
  <si>
    <t>Tabell 11 Antall kommuner der én eller færre fastleger (ekskl. lister uten lege) hadde åpen liste (ledige plasser). 30. juni 2008</t>
  </si>
  <si>
    <t>Per 31. mars 2007</t>
  </si>
  <si>
    <t>3. kvartal 2008</t>
  </si>
  <si>
    <t>4. kvartal 2008</t>
  </si>
  <si>
    <t>1. kvartal 2009</t>
  </si>
  <si>
    <t>2. kvartal 2009</t>
  </si>
  <si>
    <t>3. kvartal 2009</t>
  </si>
  <si>
    <t>Brukes</t>
  </si>
  <si>
    <t>til Word (tast inn tall)</t>
  </si>
  <si>
    <t>4. kvartal 2009</t>
  </si>
  <si>
    <t>1. kvartal 2010</t>
  </si>
  <si>
    <t xml:space="preserve"> </t>
  </si>
  <si>
    <t>sum bytter etter eget ønske siste 12 mnd</t>
  </si>
  <si>
    <t>i forhold til antall med listeplass, siste kvartal</t>
  </si>
  <si>
    <t>2. kvartal 2010</t>
  </si>
  <si>
    <t>30.06.</t>
  </si>
  <si>
    <t>3. kvartal 2010</t>
  </si>
  <si>
    <t>4. kvartal 2010</t>
  </si>
  <si>
    <t>1. kvartal 2011</t>
  </si>
  <si>
    <t>2. kvartal 2011</t>
  </si>
  <si>
    <t>3. kvartal 2011</t>
  </si>
  <si>
    <t>4. kvartal 2011</t>
  </si>
  <si>
    <t>1. kvartal 2012</t>
  </si>
  <si>
    <t>i) I tillegg kommer én kommune i Buskerud som ikke har egne fastleger,</t>
  </si>
  <si>
    <t>1723 Mosvik ble slått sammen med 1729 Inderøy fra 1.1.2012</t>
  </si>
  <si>
    <t>2. kvartal 2012</t>
  </si>
  <si>
    <t>3. kvartal 2012</t>
  </si>
  <si>
    <t>4. kvartal 2012</t>
  </si>
  <si>
    <t>429 kommuner i N.</t>
  </si>
  <si>
    <t>428 kommuner i N. fra 1.1.2013</t>
  </si>
  <si>
    <t>til ny 1756 Inderøy</t>
  </si>
  <si>
    <t>1901 Harstad ble slått sammen med 1915 Bjarkøy fra 1.1.2013 til ny 1903 Harstad</t>
  </si>
  <si>
    <t>1. kvartal 2013</t>
  </si>
  <si>
    <t>2. kvartal 2013</t>
  </si>
  <si>
    <t>tallet ble redusert med en fra 1.1.2013</t>
  </si>
  <si>
    <t>3. kvartal 2013</t>
  </si>
  <si>
    <t>4. kvartal 2013</t>
  </si>
  <si>
    <t>1. kvartal 2014</t>
  </si>
  <si>
    <t>75+ år</t>
  </si>
  <si>
    <t>2. kvartal 2014</t>
  </si>
  <si>
    <t>3. kvartal 2014</t>
  </si>
  <si>
    <t>4. kvartal 2014</t>
  </si>
  <si>
    <t>1. kvartal 2015</t>
  </si>
  <si>
    <t>2. kvartal 2015</t>
  </si>
  <si>
    <t>3. kvartal 2015</t>
  </si>
  <si>
    <t>4. kvartal 2015</t>
  </si>
  <si>
    <t>1. kvartal 2016</t>
  </si>
  <si>
    <t>2. kvartal 2016</t>
  </si>
  <si>
    <t>Avsluttet/</t>
  </si>
  <si>
    <t>Antall tildelte bytter (pga avsluttet</t>
  </si>
  <si>
    <t>Automatisk</t>
  </si>
  <si>
    <t>helsenorge.no</t>
  </si>
  <si>
    <t>utført selv på</t>
  </si>
  <si>
    <t>utført av</t>
  </si>
  <si>
    <t>800HELSE</t>
  </si>
  <si>
    <t>tildelt</t>
  </si>
  <si>
    <t>fra 1.6.2016</t>
  </si>
  <si>
    <t>fra 1.6.2001</t>
  </si>
  <si>
    <t>til 31.5.2016</t>
  </si>
  <si>
    <t>eller redusert praksis/ automatisk tildelt)</t>
  </si>
  <si>
    <t>3. kvartal 2016</t>
  </si>
  <si>
    <t>Utført av</t>
  </si>
  <si>
    <t>på</t>
  </si>
  <si>
    <t>bytter av</t>
  </si>
  <si>
    <t>automatisk</t>
  </si>
  <si>
    <t>4. kvartal 2016</t>
  </si>
  <si>
    <t>Antall lister med fast lege</t>
  </si>
  <si>
    <t>Andel fastlege praksiser som er spesialist i</t>
  </si>
  <si>
    <t>Andel fastlege praksiser med begge</t>
  </si>
  <si>
    <t>5 263 645</t>
  </si>
  <si>
    <t>5 274 182</t>
  </si>
  <si>
    <t>10 537</t>
  </si>
  <si>
    <t>Tabell 2 Utviklingen i antall fastlegepraksiser (ekskl. lister uten fast lege) mv</t>
  </si>
  <si>
    <t>Tabell 3 Utviklingen i antall lister uten fast lege mv</t>
  </si>
  <si>
    <t>fast lege</t>
  </si>
  <si>
    <t>uten fast lege</t>
  </si>
  <si>
    <t>Tabell 4 Utviklingen i antall lister (fastlegepraksiser og lister uten fast lege) mv</t>
  </si>
  <si>
    <t>liste uten fast lege</t>
  </si>
  <si>
    <t>uten fast lege)</t>
  </si>
  <si>
    <t xml:space="preserve"> liste uten fast lege</t>
  </si>
  <si>
    <t>Andel av listene som mangler fast lege</t>
  </si>
  <si>
    <t>Lister uten</t>
  </si>
  <si>
    <t>fast lege)</t>
  </si>
  <si>
    <t>på liste (inkl. lister</t>
  </si>
  <si>
    <t>har plass på liste</t>
  </si>
  <si>
    <t>minst 1 mnd</t>
  </si>
  <si>
    <t>varighet</t>
  </si>
  <si>
    <t>etter 1.6.2016</t>
  </si>
  <si>
    <t>før 1.6.2016</t>
  </si>
  <si>
    <t>minst 2 mnd</t>
  </si>
  <si>
    <t>1. kvartal 2017</t>
  </si>
  <si>
    <t>kvaliteten er bra nå med den nye fastlegeløsningen fra 1.6.2016</t>
  </si>
  <si>
    <t>2. kvartal 2017</t>
  </si>
  <si>
    <t>Stokke og Andebu inn i ny Sandefjord fra 1.1.2017</t>
  </si>
  <si>
    <t>426 kommuner i N. fra 1.1.2017</t>
  </si>
  <si>
    <t>UTGÅR fom 2.kvartal 2016. Ny fastlegeløsning gir ikke disse data.</t>
  </si>
  <si>
    <t>3. kvartal 2017</t>
  </si>
  <si>
    <t>Kompatibilitetsrapport for Tabellgrunnlag for word dok tom 2017-3.xls</t>
  </si>
  <si>
    <t>Kjør på 31.10.2017 15:06</t>
  </si>
  <si>
    <t>Følgende funksjoner i denne arbeidsboken støttes ikke av tidligere Excel-versjoner. Disse funksjonene kan gå tapt eller forringes hvis du åpner denne arbeidsboken i en tidligere versjon av Excel, eller hvis du lagrer arbeidsboken i et tidligere filformat.</t>
  </si>
  <si>
    <t>Betydelig funksjonalitetstap</t>
  </si>
  <si>
    <t>Antall forekomster</t>
  </si>
  <si>
    <t>Versjon</t>
  </si>
  <si>
    <t>Én eller flere funksjoner i denne arbeidsboken er ikke tilgjengelig i versjoner før Excel 2007. Når disse funksjonene beregnes på nytt i tidligere versjoner, vil de returnere feilen #NAVN? i stedet for de gjeldende resultatene.</t>
  </si>
  <si>
    <t>Tabell 12'!K26</t>
  </si>
  <si>
    <t>Excel 97-2003</t>
  </si>
  <si>
    <t>Mindre gjengivelsestap</t>
  </si>
  <si>
    <t>Det brukes en tabellstil på en tabell i denne arbeidsboken. Tabellstilformatering kan ikke vises i tidligere versjoner av Excel.</t>
  </si>
  <si>
    <t>Hjelpeark'!B1:D17</t>
  </si>
  <si>
    <t>Noen celler eller stiler i denne arbeidsboken inneholder formatering som ikke støttes av det merkede filformatet. Disse formatene vil bli konvertert til det nærmeste tilgjengelige formatet.</t>
  </si>
  <si>
    <t>Disse tallene er feil ! Ubrukelige.</t>
  </si>
  <si>
    <t>4. kvartal 2017</t>
  </si>
  <si>
    <t>Antall deltakere uten listeplass er satt til null</t>
  </si>
  <si>
    <t>da det er mye nærmere riktig enn tallene som veldig feil</t>
  </si>
  <si>
    <t>1. kvartal 2018</t>
  </si>
  <si>
    <t>Trøndelag</t>
  </si>
  <si>
    <t>2. kvartal 2018</t>
  </si>
  <si>
    <t>Nøtterøy og Tjøme til ny kommune Færder fra 1.1.2018</t>
  </si>
  <si>
    <t>Holmestrand og HOF til Holmestrand fra 1.1.2018</t>
  </si>
  <si>
    <t>Lardal og Larvik til Larvik fra 1.1.2018</t>
  </si>
  <si>
    <t>Rissa og Leksvik til Indre Fosen fra 1.1.2018</t>
  </si>
  <si>
    <t>422 kommuner fra 1.1.2018</t>
  </si>
  <si>
    <t>3. kvartal 2018</t>
  </si>
  <si>
    <t>Tabell 11 Antall kommuner der én eller færre fastleger (ekskl. lister uten fast lege) hadde åpen liste (ledige plasser). 30. september 2018</t>
  </si>
  <si>
    <t>Figur 2 Antall fastlegebytter etter innbyggerens eget ønske. 1. kvartal 2004 - 3. kvartal 2018</t>
  </si>
  <si>
    <t>4. kvartal 2018</t>
  </si>
  <si>
    <t>31.12.</t>
  </si>
  <si>
    <t>Tabell 12 Fylkesvis fordeling av enkelte nøkkeltall for fastlegeordningen per 31. desember 2018. Prosentvise andeler</t>
  </si>
</sst>
</file>

<file path=xl/styles.xml><?xml version="1.0" encoding="utf-8"?>
<styleSheet xmlns="http://schemas.openxmlformats.org/spreadsheetml/2006/main">
  <numFmts count="46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"/>
    <numFmt numFmtId="181" formatCode="&quot;Ja&quot;;&quot;Ja&quot;;&quot;Nei&quot;"/>
    <numFmt numFmtId="182" formatCode="&quot;Sann&quot;;&quot;Sann&quot;;&quot;Usann&quot;"/>
    <numFmt numFmtId="183" formatCode="&quot;På&quot;;&quot;På&quot;;&quot;Av&quot;"/>
    <numFmt numFmtId="184" formatCode="d/\ mmmm"/>
    <numFmt numFmtId="185" formatCode="d/\ mmm\.\ yyyy"/>
    <numFmt numFmtId="186" formatCode="#,##0.0"/>
    <numFmt numFmtId="187" formatCode="mmm/yyyy"/>
    <numFmt numFmtId="188" formatCode="[$-414]d\.\ mmmm\ yyyy"/>
    <numFmt numFmtId="189" formatCode="[$-414]d/\ mmmm\ yyyy;@"/>
    <numFmt numFmtId="190" formatCode="#,##0.000"/>
    <numFmt numFmtId="191" formatCode="_ * #,##0.0_ ;_ * \-#,##0.0_ ;_ * &quot;-&quot;??_ ;_ @_ 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\ %"/>
    <numFmt numFmtId="199" formatCode="[$-10414]#,##0;\-\ #,##0"/>
    <numFmt numFmtId="200" formatCode="_ * #,##0_ ;_ * \-#,##0_ ;_ * &quot;-&quot;??_ ;_ @_ "/>
    <numFmt numFmtId="201" formatCode="[$€-2]\ ###,000_);[Red]\([$€-2]\ ###,000\)"/>
  </numFmts>
  <fonts count="58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color indexed="10"/>
      <name val="Arial"/>
      <family val="2"/>
    </font>
    <font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Segoe UI"/>
      <family val="2"/>
    </font>
    <font>
      <b/>
      <sz val="10"/>
      <color indexed="8"/>
      <name val="Segoe UI"/>
      <family val="2"/>
    </font>
    <font>
      <b/>
      <sz val="9"/>
      <color indexed="10"/>
      <name val="Arial"/>
      <family val="2"/>
    </font>
    <font>
      <sz val="9"/>
      <color indexed="8"/>
      <name val="Arial"/>
      <family val="0"/>
    </font>
    <font>
      <sz val="5.25"/>
      <color indexed="8"/>
      <name val="Arial"/>
      <family val="0"/>
    </font>
    <font>
      <sz val="10.25"/>
      <color indexed="8"/>
      <name val="Arial"/>
      <family val="0"/>
    </font>
    <font>
      <sz val="6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0000"/>
      <name val="Segoe UI"/>
      <family val="2"/>
    </font>
    <font>
      <b/>
      <sz val="10"/>
      <color rgb="FF000000"/>
      <name val="Segoe UI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>
        <color indexed="63"/>
      </right>
      <top style="thick">
        <color indexed="17"/>
      </top>
      <bottom>
        <color indexed="6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3" borderId="1" applyNumberFormat="0" applyAlignment="0" applyProtection="0"/>
    <xf numFmtId="0" fontId="43" fillId="0" borderId="2" applyNumberFormat="0" applyFill="0" applyAlignment="0" applyProtection="0"/>
    <xf numFmtId="171" fontId="0" fillId="0" borderId="0" applyFont="0" applyFill="0" applyBorder="0" applyAlignment="0" applyProtection="0"/>
    <xf numFmtId="0" fontId="44" fillId="24" borderId="3" applyNumberFormat="0" applyAlignment="0" applyProtection="0"/>
    <xf numFmtId="0" fontId="0" fillId="25" borderId="4" applyNumberFormat="0" applyFont="0" applyAlignment="0" applyProtection="0"/>
    <xf numFmtId="0" fontId="45" fillId="26" borderId="0" applyNumberFormat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69" fontId="0" fillId="0" borderId="0" applyFont="0" applyFill="0" applyBorder="0" applyAlignment="0" applyProtection="0"/>
    <xf numFmtId="0" fontId="51" fillId="20" borderId="9" applyNumberFormat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8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8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0" fontId="0" fillId="0" borderId="0" xfId="0" applyAlignment="1" quotePrefix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 quotePrefix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Alignment="1">
      <alignment horizontal="right"/>
    </xf>
    <xf numFmtId="14" fontId="0" fillId="0" borderId="0" xfId="0" applyNumberFormat="1" applyAlignment="1">
      <alignment/>
    </xf>
    <xf numFmtId="3" fontId="0" fillId="0" borderId="0" xfId="0" applyNumberFormat="1" applyBorder="1" applyAlignment="1">
      <alignment horizontal="right"/>
    </xf>
    <xf numFmtId="14" fontId="0" fillId="0" borderId="0" xfId="0" applyNumberFormat="1" applyBorder="1" applyAlignment="1">
      <alignment/>
    </xf>
    <xf numFmtId="3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center"/>
    </xf>
    <xf numFmtId="14" fontId="0" fillId="0" borderId="0" xfId="0" applyNumberFormat="1" applyAlignment="1">
      <alignment horizontal="left"/>
    </xf>
    <xf numFmtId="3" fontId="0" fillId="0" borderId="0" xfId="0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/>
    </xf>
    <xf numFmtId="3" fontId="4" fillId="33" borderId="0" xfId="0" applyNumberFormat="1" applyFont="1" applyFill="1" applyAlignment="1">
      <alignment horizontal="right"/>
    </xf>
    <xf numFmtId="3" fontId="0" fillId="33" borderId="10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3" borderId="0" xfId="0" applyNumberFormat="1" applyFont="1" applyFill="1" applyAlignment="1">
      <alignment/>
    </xf>
    <xf numFmtId="3" fontId="0" fillId="33" borderId="14" xfId="0" applyNumberFormat="1" applyFont="1" applyFill="1" applyBorder="1" applyAlignment="1">
      <alignment/>
    </xf>
    <xf numFmtId="3" fontId="0" fillId="33" borderId="11" xfId="0" applyNumberFormat="1" applyFont="1" applyFill="1" applyBorder="1" applyAlignment="1">
      <alignment/>
    </xf>
    <xf numFmtId="3" fontId="0" fillId="33" borderId="15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180" fontId="0" fillId="0" borderId="11" xfId="0" applyNumberFormat="1" applyFont="1" applyBorder="1" applyAlignment="1">
      <alignment/>
    </xf>
    <xf numFmtId="180" fontId="0" fillId="0" borderId="15" xfId="0" applyNumberFormat="1" applyFont="1" applyBorder="1" applyAlignment="1">
      <alignment/>
    </xf>
    <xf numFmtId="180" fontId="0" fillId="0" borderId="16" xfId="0" applyNumberFormat="1" applyFont="1" applyBorder="1" applyAlignment="1">
      <alignment/>
    </xf>
    <xf numFmtId="180" fontId="0" fillId="0" borderId="18" xfId="0" applyNumberFormat="1" applyFont="1" applyBorder="1" applyAlignment="1">
      <alignment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 horizontal="right"/>
    </xf>
    <xf numFmtId="2" fontId="0" fillId="0" borderId="0" xfId="0" applyNumberFormat="1" applyAlignment="1">
      <alignment/>
    </xf>
    <xf numFmtId="180" fontId="0" fillId="0" borderId="10" xfId="0" applyNumberFormat="1" applyFont="1" applyBorder="1" applyAlignment="1">
      <alignment/>
    </xf>
    <xf numFmtId="3" fontId="0" fillId="33" borderId="10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180" fontId="0" fillId="0" borderId="19" xfId="0" applyNumberFormat="1" applyFont="1" applyBorder="1" applyAlignment="1">
      <alignment/>
    </xf>
    <xf numFmtId="3" fontId="0" fillId="33" borderId="19" xfId="0" applyNumberFormat="1" applyFont="1" applyFill="1" applyBorder="1" applyAlignment="1">
      <alignment/>
    </xf>
    <xf numFmtId="180" fontId="0" fillId="0" borderId="0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3" fontId="0" fillId="33" borderId="0" xfId="0" applyNumberFormat="1" applyFont="1" applyFill="1" applyBorder="1" applyAlignment="1">
      <alignment/>
    </xf>
    <xf numFmtId="14" fontId="0" fillId="0" borderId="0" xfId="0" applyNumberFormat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Alignment="1" quotePrefix="1">
      <alignment horizontal="right"/>
    </xf>
    <xf numFmtId="3" fontId="0" fillId="0" borderId="10" xfId="0" applyNumberFormat="1" applyFont="1" applyFill="1" applyBorder="1" applyAlignment="1" quotePrefix="1">
      <alignment horizontal="right"/>
    </xf>
    <xf numFmtId="3" fontId="0" fillId="0" borderId="0" xfId="0" applyNumberFormat="1" applyFill="1" applyBorder="1" applyAlignment="1">
      <alignment/>
    </xf>
    <xf numFmtId="3" fontId="0" fillId="33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0" fontId="0" fillId="0" borderId="10" xfId="0" applyFill="1" applyBorder="1" applyAlignment="1">
      <alignment horizontal="center"/>
    </xf>
    <xf numFmtId="3" fontId="0" fillId="33" borderId="0" xfId="0" applyNumberFormat="1" applyFont="1" applyFill="1" applyAlignment="1">
      <alignment horizontal="righ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3" fontId="0" fillId="0" borderId="18" xfId="0" applyNumberFormat="1" applyFont="1" applyFill="1" applyBorder="1" applyAlignment="1">
      <alignment/>
    </xf>
    <xf numFmtId="1" fontId="0" fillId="0" borderId="0" xfId="0" applyNumberFormat="1" applyFont="1" applyFill="1" applyBorder="1" applyAlignment="1" quotePrefix="1">
      <alignment horizontal="right"/>
    </xf>
    <xf numFmtId="14" fontId="0" fillId="0" borderId="0" xfId="0" applyNumberFormat="1" applyFill="1" applyBorder="1" applyAlignment="1">
      <alignment/>
    </xf>
    <xf numFmtId="14" fontId="0" fillId="0" borderId="0" xfId="0" applyNumberFormat="1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180" fontId="0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33" borderId="11" xfId="0" applyNumberFormat="1" applyFill="1" applyBorder="1" applyAlignment="1">
      <alignment/>
    </xf>
    <xf numFmtId="14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 horizontal="center"/>
    </xf>
    <xf numFmtId="14" fontId="0" fillId="0" borderId="10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33" borderId="0" xfId="0" applyNumberFormat="1" applyFill="1" applyBorder="1" applyAlignment="1">
      <alignment horizontal="right"/>
    </xf>
    <xf numFmtId="3" fontId="0" fillId="33" borderId="0" xfId="0" applyNumberForma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0" fillId="33" borderId="0" xfId="0" applyFill="1" applyBorder="1" applyAlignment="1">
      <alignment/>
    </xf>
    <xf numFmtId="186" fontId="0" fillId="0" borderId="0" xfId="0" applyNumberFormat="1" applyAlignment="1">
      <alignment/>
    </xf>
    <xf numFmtId="186" fontId="0" fillId="0" borderId="0" xfId="0" applyNumberFormat="1" applyAlignment="1">
      <alignment horizontal="center"/>
    </xf>
    <xf numFmtId="186" fontId="0" fillId="0" borderId="10" xfId="0" applyNumberFormat="1" applyFont="1" applyBorder="1" applyAlignment="1">
      <alignment horizontal="center"/>
    </xf>
    <xf numFmtId="186" fontId="0" fillId="0" borderId="0" xfId="0" applyNumberFormat="1" applyFill="1" applyAlignment="1">
      <alignment/>
    </xf>
    <xf numFmtId="14" fontId="0" fillId="0" borderId="0" xfId="0" applyNumberFormat="1" applyAlignment="1">
      <alignment horizontal="center"/>
    </xf>
    <xf numFmtId="14" fontId="0" fillId="0" borderId="10" xfId="0" applyNumberFormat="1" applyBorder="1" applyAlignment="1">
      <alignment horizontal="center"/>
    </xf>
    <xf numFmtId="186" fontId="0" fillId="0" borderId="0" xfId="0" applyNumberFormat="1" applyAlignment="1">
      <alignment horizontal="right"/>
    </xf>
    <xf numFmtId="186" fontId="0" fillId="0" borderId="0" xfId="0" applyNumberFormat="1" applyBorder="1" applyAlignment="1">
      <alignment horizontal="right"/>
    </xf>
    <xf numFmtId="3" fontId="0" fillId="0" borderId="18" xfId="0" applyNumberFormat="1" applyFont="1" applyBorder="1" applyAlignment="1">
      <alignment/>
    </xf>
    <xf numFmtId="0" fontId="0" fillId="0" borderId="14" xfId="0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0" fontId="0" fillId="0" borderId="20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0" xfId="0" applyFill="1" applyBorder="1" applyAlignment="1" quotePrefix="1">
      <alignment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/>
    </xf>
    <xf numFmtId="180" fontId="0" fillId="0" borderId="11" xfId="0" applyNumberFormat="1" applyFill="1" applyBorder="1" applyAlignment="1">
      <alignment/>
    </xf>
    <xf numFmtId="0" fontId="0" fillId="0" borderId="13" xfId="0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33" borderId="15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 horizontal="right"/>
    </xf>
    <xf numFmtId="186" fontId="0" fillId="0" borderId="0" xfId="0" applyNumberFormat="1" applyFont="1" applyFill="1" applyBorder="1" applyAlignment="1">
      <alignment/>
    </xf>
    <xf numFmtId="14" fontId="0" fillId="0" borderId="0" xfId="0" applyNumberFormat="1" applyFont="1" applyBorder="1" applyAlignment="1">
      <alignment/>
    </xf>
    <xf numFmtId="3" fontId="0" fillId="33" borderId="16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180" fontId="0" fillId="33" borderId="0" xfId="0" applyNumberFormat="1" applyFont="1" applyFill="1" applyBorder="1" applyAlignment="1">
      <alignment/>
    </xf>
    <xf numFmtId="1" fontId="0" fillId="0" borderId="0" xfId="0" applyNumberFormat="1" applyAlignment="1">
      <alignment horizontal="center"/>
    </xf>
    <xf numFmtId="14" fontId="0" fillId="0" borderId="10" xfId="0" applyNumberFormat="1" applyFont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189" fontId="0" fillId="0" borderId="0" xfId="0" applyNumberFormat="1" applyFont="1" applyAlignment="1">
      <alignment horizontal="center" wrapText="1"/>
    </xf>
    <xf numFmtId="3" fontId="0" fillId="0" borderId="19" xfId="0" applyNumberFormat="1" applyFont="1" applyFill="1" applyBorder="1" applyAlignment="1">
      <alignment/>
    </xf>
    <xf numFmtId="190" fontId="0" fillId="0" borderId="0" xfId="0" applyNumberFormat="1" applyAlignment="1">
      <alignment/>
    </xf>
    <xf numFmtId="180" fontId="7" fillId="0" borderId="0" xfId="0" applyNumberFormat="1" applyFont="1" applyAlignment="1">
      <alignment/>
    </xf>
    <xf numFmtId="3" fontId="0" fillId="34" borderId="0" xfId="0" applyNumberFormat="1" applyFill="1" applyAlignment="1">
      <alignment/>
    </xf>
    <xf numFmtId="3" fontId="0" fillId="33" borderId="10" xfId="0" applyNumberFormat="1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0" fillId="34" borderId="16" xfId="0" applyNumberFormat="1" applyFont="1" applyFill="1" applyBorder="1" applyAlignment="1">
      <alignment/>
    </xf>
    <xf numFmtId="3" fontId="0" fillId="34" borderId="13" xfId="0" applyNumberFormat="1" applyFont="1" applyFill="1" applyBorder="1" applyAlignment="1">
      <alignment/>
    </xf>
    <xf numFmtId="180" fontId="0" fillId="0" borderId="0" xfId="0" applyNumberFormat="1" applyFont="1" applyBorder="1" applyAlignment="1">
      <alignment horizontal="right"/>
    </xf>
    <xf numFmtId="180" fontId="0" fillId="0" borderId="17" xfId="0" applyNumberFormat="1" applyFont="1" applyBorder="1" applyAlignment="1">
      <alignment/>
    </xf>
    <xf numFmtId="0" fontId="7" fillId="0" borderId="22" xfId="0" applyFont="1" applyBorder="1" applyAlignment="1">
      <alignment horizontal="right" vertical="top" wrapText="1"/>
    </xf>
    <xf numFmtId="0" fontId="7" fillId="0" borderId="23" xfId="0" applyFont="1" applyBorder="1" applyAlignment="1">
      <alignment horizontal="right" wrapText="1"/>
    </xf>
    <xf numFmtId="0" fontId="7" fillId="0" borderId="24" xfId="0" applyFont="1" applyBorder="1" applyAlignment="1">
      <alignment horizontal="right" wrapText="1"/>
    </xf>
    <xf numFmtId="191" fontId="7" fillId="0" borderId="0" xfId="41" applyNumberFormat="1" applyFont="1" applyAlignment="1">
      <alignment horizontal="right" wrapText="1"/>
    </xf>
    <xf numFmtId="191" fontId="7" fillId="0" borderId="23" xfId="41" applyNumberFormat="1" applyFont="1" applyBorder="1" applyAlignment="1">
      <alignment horizontal="right" wrapText="1"/>
    </xf>
    <xf numFmtId="191" fontId="0" fillId="0" borderId="0" xfId="41" applyNumberFormat="1" applyFont="1" applyAlignment="1">
      <alignment/>
    </xf>
    <xf numFmtId="0" fontId="7" fillId="0" borderId="25" xfId="0" applyFont="1" applyBorder="1" applyAlignment="1">
      <alignment horizontal="right" vertical="top" wrapText="1"/>
    </xf>
    <xf numFmtId="0" fontId="8" fillId="0" borderId="0" xfId="0" applyFont="1" applyAlignment="1">
      <alignment horizontal="right" wrapText="1"/>
    </xf>
    <xf numFmtId="0" fontId="8" fillId="0" borderId="23" xfId="0" applyFont="1" applyBorder="1" applyAlignment="1">
      <alignment horizontal="right" wrapText="1"/>
    </xf>
    <xf numFmtId="180" fontId="7" fillId="0" borderId="0" xfId="0" applyNumberFormat="1" applyFont="1" applyAlignment="1">
      <alignment horizontal="right" wrapText="1"/>
    </xf>
    <xf numFmtId="180" fontId="7" fillId="0" borderId="23" xfId="0" applyNumberFormat="1" applyFont="1" applyBorder="1" applyAlignment="1">
      <alignment horizontal="right" wrapText="1"/>
    </xf>
    <xf numFmtId="198" fontId="0" fillId="0" borderId="0" xfId="49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3" fillId="0" borderId="0" xfId="0" applyFont="1" applyAlignment="1">
      <alignment/>
    </xf>
    <xf numFmtId="0" fontId="9" fillId="0" borderId="0" xfId="0" applyFont="1" applyAlignment="1">
      <alignment/>
    </xf>
    <xf numFmtId="0" fontId="0" fillId="35" borderId="0" xfId="0" applyFill="1" applyAlignment="1">
      <alignment/>
    </xf>
    <xf numFmtId="199" fontId="54" fillId="0" borderId="26" xfId="0" applyNumberFormat="1" applyFont="1" applyFill="1" applyBorder="1" applyAlignment="1">
      <alignment vertical="top" wrapText="1" readingOrder="1"/>
    </xf>
    <xf numFmtId="199" fontId="55" fillId="0" borderId="26" xfId="0" applyNumberFormat="1" applyFont="1" applyFill="1" applyBorder="1" applyAlignment="1">
      <alignment vertical="top" wrapText="1" readingOrder="1"/>
    </xf>
    <xf numFmtId="3" fontId="0" fillId="33" borderId="11" xfId="0" applyNumberFormat="1" applyFont="1" applyFill="1" applyBorder="1" applyAlignment="1">
      <alignment horizontal="right"/>
    </xf>
    <xf numFmtId="199" fontId="54" fillId="35" borderId="26" xfId="0" applyNumberFormat="1" applyFont="1" applyFill="1" applyBorder="1" applyAlignment="1">
      <alignment vertical="top" wrapText="1" readingOrder="1"/>
    </xf>
    <xf numFmtId="3" fontId="0" fillId="33" borderId="14" xfId="0" applyNumberFormat="1" applyFont="1" applyFill="1" applyBorder="1" applyAlignment="1">
      <alignment horizontal="right"/>
    </xf>
    <xf numFmtId="3" fontId="0" fillId="33" borderId="15" xfId="0" applyNumberFormat="1" applyFont="1" applyFill="1" applyBorder="1" applyAlignment="1">
      <alignment horizontal="right"/>
    </xf>
    <xf numFmtId="3" fontId="0" fillId="33" borderId="12" xfId="0" applyNumberFormat="1" applyFont="1" applyFill="1" applyBorder="1" applyAlignment="1">
      <alignment horizontal="right"/>
    </xf>
    <xf numFmtId="3" fontId="0" fillId="35" borderId="11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3" fontId="0" fillId="0" borderId="15" xfId="0" applyNumberFormat="1" applyFill="1" applyBorder="1" applyAlignment="1">
      <alignment/>
    </xf>
    <xf numFmtId="3" fontId="0" fillId="0" borderId="15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3" fontId="0" fillId="33" borderId="28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3" fontId="0" fillId="35" borderId="17" xfId="0" applyNumberFormat="1" applyFont="1" applyFill="1" applyBorder="1" applyAlignment="1">
      <alignment horizontal="right"/>
    </xf>
    <xf numFmtId="3" fontId="0" fillId="35" borderId="14" xfId="0" applyNumberFormat="1" applyFont="1" applyFill="1" applyBorder="1" applyAlignment="1">
      <alignment horizontal="right"/>
    </xf>
    <xf numFmtId="3" fontId="0" fillId="33" borderId="27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3" fontId="0" fillId="35" borderId="15" xfId="0" applyNumberFormat="1" applyFont="1" applyFill="1" applyBorder="1" applyAlignment="1">
      <alignment horizontal="right"/>
    </xf>
    <xf numFmtId="3" fontId="0" fillId="33" borderId="21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3" fontId="0" fillId="35" borderId="12" xfId="0" applyNumberFormat="1" applyFont="1" applyFill="1" applyBorder="1" applyAlignment="1">
      <alignment horizontal="right"/>
    </xf>
    <xf numFmtId="3" fontId="0" fillId="35" borderId="16" xfId="0" applyNumberFormat="1" applyFont="1" applyFill="1" applyBorder="1" applyAlignment="1">
      <alignment horizontal="right"/>
    </xf>
    <xf numFmtId="200" fontId="0" fillId="33" borderId="11" xfId="41" applyNumberFormat="1" applyFont="1" applyFill="1" applyBorder="1" applyAlignment="1">
      <alignment horizontal="right"/>
    </xf>
    <xf numFmtId="180" fontId="0" fillId="0" borderId="27" xfId="0" applyNumberFormat="1" applyFont="1" applyBorder="1" applyAlignment="1">
      <alignment/>
    </xf>
    <xf numFmtId="180" fontId="0" fillId="0" borderId="29" xfId="0" applyNumberFormat="1" applyFont="1" applyBorder="1" applyAlignment="1">
      <alignment/>
    </xf>
    <xf numFmtId="186" fontId="0" fillId="33" borderId="0" xfId="0" applyNumberFormat="1" applyFont="1" applyFill="1" applyAlignment="1">
      <alignment horizontal="right"/>
    </xf>
    <xf numFmtId="186" fontId="0" fillId="33" borderId="10" xfId="0" applyNumberFormat="1" applyFont="1" applyFill="1" applyBorder="1" applyAlignment="1">
      <alignment horizontal="right"/>
    </xf>
    <xf numFmtId="0" fontId="10" fillId="0" borderId="25" xfId="0" applyFont="1" applyBorder="1" applyAlignment="1">
      <alignment horizontal="right" vertical="top" wrapText="1"/>
    </xf>
    <xf numFmtId="0" fontId="10" fillId="0" borderId="22" xfId="0" applyFont="1" applyBorder="1" applyAlignment="1">
      <alignment horizontal="right" vertical="top" wrapText="1"/>
    </xf>
    <xf numFmtId="191" fontId="10" fillId="0" borderId="0" xfId="41" applyNumberFormat="1" applyFont="1" applyAlignment="1">
      <alignment horizontal="right" wrapText="1"/>
    </xf>
    <xf numFmtId="191" fontId="10" fillId="0" borderId="23" xfId="41" applyNumberFormat="1" applyFont="1" applyBorder="1" applyAlignment="1">
      <alignment horizontal="right" wrapText="1"/>
    </xf>
    <xf numFmtId="180" fontId="10" fillId="0" borderId="23" xfId="0" applyNumberFormat="1" applyFont="1" applyBorder="1" applyAlignment="1">
      <alignment horizontal="right" wrapText="1"/>
    </xf>
    <xf numFmtId="180" fontId="10" fillId="0" borderId="0" xfId="0" applyNumberFormat="1" applyFont="1" applyAlignment="1">
      <alignment horizontal="right" wrapText="1"/>
    </xf>
    <xf numFmtId="0" fontId="10" fillId="0" borderId="23" xfId="0" applyFont="1" applyBorder="1" applyAlignment="1">
      <alignment horizontal="right" wrapText="1"/>
    </xf>
    <xf numFmtId="0" fontId="10" fillId="0" borderId="24" xfId="0" applyFont="1" applyBorder="1" applyAlignment="1">
      <alignment horizontal="right" wrapText="1"/>
    </xf>
    <xf numFmtId="14" fontId="0" fillId="0" borderId="20" xfId="0" applyNumberFormat="1" applyBorder="1" applyAlignment="1">
      <alignment/>
    </xf>
    <xf numFmtId="0" fontId="0" fillId="0" borderId="20" xfId="0" applyBorder="1" applyAlignment="1">
      <alignment horizontal="center"/>
    </xf>
    <xf numFmtId="14" fontId="0" fillId="0" borderId="0" xfId="0" applyNumberFormat="1" applyFont="1" applyFill="1" applyAlignment="1">
      <alignment/>
    </xf>
    <xf numFmtId="14" fontId="0" fillId="0" borderId="10" xfId="0" applyNumberFormat="1" applyFont="1" applyFill="1" applyBorder="1" applyAlignment="1">
      <alignment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8" xfId="0" applyBorder="1" applyAlignment="1">
      <alignment/>
    </xf>
    <xf numFmtId="3" fontId="0" fillId="0" borderId="21" xfId="0" applyNumberFormat="1" applyFont="1" applyFill="1" applyBorder="1" applyAlignment="1">
      <alignment horizontal="center"/>
    </xf>
    <xf numFmtId="14" fontId="0" fillId="0" borderId="18" xfId="0" applyNumberFormat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14" fontId="56" fillId="0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3" fontId="56" fillId="0" borderId="0" xfId="0" applyNumberFormat="1" applyFont="1" applyFill="1" applyBorder="1" applyAlignment="1">
      <alignment horizontal="center"/>
    </xf>
    <xf numFmtId="14" fontId="57" fillId="0" borderId="0" xfId="0" applyNumberFormat="1" applyFont="1" applyAlignment="1">
      <alignment/>
    </xf>
    <xf numFmtId="0" fontId="57" fillId="0" borderId="15" xfId="0" applyFont="1" applyBorder="1" applyAlignment="1">
      <alignment horizontal="center"/>
    </xf>
    <xf numFmtId="0" fontId="57" fillId="0" borderId="27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27" xfId="0" applyFont="1" applyFill="1" applyBorder="1" applyAlignment="1">
      <alignment horizontal="center"/>
    </xf>
    <xf numFmtId="14" fontId="57" fillId="0" borderId="10" xfId="0" applyNumberFormat="1" applyFont="1" applyBorder="1" applyAlignment="1">
      <alignment/>
    </xf>
    <xf numFmtId="0" fontId="57" fillId="0" borderId="16" xfId="0" applyFont="1" applyBorder="1" applyAlignment="1">
      <alignment horizontal="center"/>
    </xf>
    <xf numFmtId="0" fontId="57" fillId="0" borderId="21" xfId="0" applyFont="1" applyBorder="1" applyAlignment="1">
      <alignment/>
    </xf>
    <xf numFmtId="0" fontId="57" fillId="0" borderId="10" xfId="0" applyFont="1" applyBorder="1" applyAlignment="1">
      <alignment/>
    </xf>
    <xf numFmtId="0" fontId="57" fillId="0" borderId="12" xfId="0" applyFont="1" applyBorder="1" applyAlignment="1">
      <alignment/>
    </xf>
    <xf numFmtId="0" fontId="1" fillId="35" borderId="0" xfId="0" applyFont="1" applyFill="1" applyBorder="1" applyAlignment="1">
      <alignment/>
    </xf>
    <xf numFmtId="0" fontId="1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31" xfId="0" applyNumberFormat="1" applyBorder="1" applyAlignment="1">
      <alignment vertical="top" wrapText="1"/>
    </xf>
    <xf numFmtId="0" fontId="0" fillId="0" borderId="32" xfId="0" applyNumberFormat="1" applyBorder="1" applyAlignment="1">
      <alignment vertical="top" wrapText="1"/>
    </xf>
    <xf numFmtId="0" fontId="0" fillId="0" borderId="33" xfId="0" applyNumberFormat="1" applyBorder="1" applyAlignment="1">
      <alignment vertical="top" wrapText="1"/>
    </xf>
    <xf numFmtId="0" fontId="0" fillId="0" borderId="34" xfId="0" applyNumberFormat="1" applyBorder="1" applyAlignment="1">
      <alignment vertical="top" wrapText="1"/>
    </xf>
    <xf numFmtId="0" fontId="0" fillId="0" borderId="35" xfId="0" applyNumberFormat="1" applyBorder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1" xfId="0" applyNumberFormat="1" applyBorder="1" applyAlignment="1">
      <alignment horizontal="center" vertical="top" wrapText="1"/>
    </xf>
    <xf numFmtId="0" fontId="0" fillId="0" borderId="36" xfId="0" applyNumberFormat="1" applyBorder="1" applyAlignment="1">
      <alignment horizontal="center" vertical="top" wrapText="1"/>
    </xf>
    <xf numFmtId="0" fontId="0" fillId="0" borderId="33" xfId="0" applyNumberFormat="1" applyBorder="1" applyAlignment="1">
      <alignment horizontal="center" vertical="top" wrapText="1"/>
    </xf>
    <xf numFmtId="0" fontId="2" fillId="0" borderId="33" xfId="38" applyNumberFormat="1" applyBorder="1" applyAlignment="1" applyProtection="1" quotePrefix="1">
      <alignment horizontal="center" vertical="top" wrapText="1"/>
      <protection/>
    </xf>
    <xf numFmtId="0" fontId="0" fillId="0" borderId="37" xfId="0" applyNumberFormat="1" applyBorder="1" applyAlignment="1">
      <alignment horizontal="center" vertical="top" wrapText="1"/>
    </xf>
    <xf numFmtId="0" fontId="0" fillId="0" borderId="35" xfId="0" applyNumberFormat="1" applyBorder="1" applyAlignment="1">
      <alignment horizontal="center" vertical="top" wrapText="1"/>
    </xf>
    <xf numFmtId="0" fontId="0" fillId="0" borderId="38" xfId="0" applyNumberFormat="1" applyBorder="1" applyAlignment="1">
      <alignment horizontal="center" vertical="top" wrapText="1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3" fontId="0" fillId="36" borderId="0" xfId="0" applyNumberFormat="1" applyFill="1" applyBorder="1" applyAlignment="1">
      <alignment/>
    </xf>
    <xf numFmtId="0" fontId="0" fillId="0" borderId="15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53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180" fontId="0" fillId="0" borderId="12" xfId="0" applyNumberFormat="1" applyFont="1" applyBorder="1" applyAlignment="1">
      <alignment/>
    </xf>
    <xf numFmtId="14" fontId="0" fillId="37" borderId="0" xfId="0" applyNumberFormat="1" applyFill="1" applyAlignment="1">
      <alignment horizontal="left"/>
    </xf>
    <xf numFmtId="3" fontId="0" fillId="37" borderId="0" xfId="0" applyNumberFormat="1" applyFill="1" applyBorder="1" applyAlignment="1">
      <alignment horizontal="right"/>
    </xf>
    <xf numFmtId="3" fontId="0" fillId="37" borderId="0" xfId="0" applyNumberFormat="1" applyFill="1" applyAlignment="1">
      <alignment/>
    </xf>
    <xf numFmtId="3" fontId="0" fillId="37" borderId="0" xfId="0" applyNumberFormat="1" applyFont="1" applyFill="1" applyBorder="1" applyAlignment="1">
      <alignment horizontal="right"/>
    </xf>
    <xf numFmtId="0" fontId="0" fillId="37" borderId="0" xfId="0" applyFill="1" applyAlignment="1">
      <alignment/>
    </xf>
    <xf numFmtId="3" fontId="0" fillId="37" borderId="0" xfId="0" applyNumberFormat="1" applyFill="1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5" borderId="29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8" borderId="0" xfId="0" applyFill="1" applyAlignment="1">
      <alignment horizontal="center"/>
    </xf>
    <xf numFmtId="0" fontId="0" fillId="39" borderId="0" xfId="0" applyFill="1" applyAlignment="1">
      <alignment horizontal="center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35"/>
          <c:w val="0.96775"/>
          <c:h val="0.83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 1'!$B$21</c:f>
              <c:strCache>
                <c:ptCount val="1"/>
                <c:pt idx="0">
                  <c:v>Nye praksiser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 1'!$A$23:$A$48</c:f>
              <c:strCache/>
            </c:strRef>
          </c:cat>
          <c:val>
            <c:numRef>
              <c:f>'Figur 1'!$B$23:$B$48</c:f>
              <c:numCache/>
            </c:numRef>
          </c:val>
        </c:ser>
        <c:ser>
          <c:idx val="3"/>
          <c:order val="1"/>
          <c:tx>
            <c:strRef>
              <c:f>'Figur 1'!$C$20:$C$21</c:f>
              <c:strCache>
                <c:ptCount val="1"/>
                <c:pt idx="0">
                  <c:v>Avsluttede praksiser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 1'!$A$23:$A$48</c:f>
              <c:strCache/>
            </c:strRef>
          </c:cat>
          <c:val>
            <c:numRef>
              <c:f>'Figur 1'!$C$23:$C$48</c:f>
              <c:numCache/>
            </c:numRef>
          </c:val>
        </c:ser>
        <c:axId val="29393194"/>
        <c:axId val="63212155"/>
      </c:barChart>
      <c:catAx>
        <c:axId val="29393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12155"/>
        <c:crosses val="autoZero"/>
        <c:auto val="1"/>
        <c:lblOffset val="100"/>
        <c:tickLblSkip val="1"/>
        <c:noMultiLvlLbl val="0"/>
      </c:catAx>
      <c:valAx>
        <c:axId val="6321215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93194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725"/>
          <c:y val="0.909"/>
          <c:w val="0.365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625"/>
          <c:w val="0.81825"/>
          <c:h val="0.91375"/>
        </c:manualLayout>
      </c:layout>
      <c:lineChart>
        <c:grouping val="standard"/>
        <c:varyColors val="0"/>
        <c:ser>
          <c:idx val="2"/>
          <c:order val="0"/>
          <c:tx>
            <c:strRef>
              <c:f>'Figur 2'!$J$21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'Figur 2'!$A$22:$A$25</c:f>
              <c:strCache/>
            </c:strRef>
          </c:cat>
          <c:val>
            <c:numRef>
              <c:f>'Figur 2'!$J$22:$J$25</c:f>
              <c:numCache/>
            </c:numRef>
          </c:val>
          <c:smooth val="0"/>
        </c:ser>
        <c:ser>
          <c:idx val="3"/>
          <c:order val="1"/>
          <c:tx>
            <c:strRef>
              <c:f>'Figur 2'!$K$21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'Figur 2'!$A$22:$A$25</c:f>
              <c:strCache/>
            </c:strRef>
          </c:cat>
          <c:val>
            <c:numRef>
              <c:f>'Figur 2'!$K$22:$K$25</c:f>
              <c:numCache/>
            </c:numRef>
          </c:val>
          <c:smooth val="0"/>
        </c:ser>
        <c:ser>
          <c:idx val="4"/>
          <c:order val="2"/>
          <c:tx>
            <c:strRef>
              <c:f>'Figur 2'!$L$21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'Figur 2'!$A$22:$A$25</c:f>
              <c:strCache/>
            </c:strRef>
          </c:cat>
          <c:val>
            <c:numRef>
              <c:f>'Figur 2'!$L$22:$L$25</c:f>
              <c:numCache/>
            </c:numRef>
          </c:val>
          <c:smooth val="0"/>
        </c:ser>
        <c:ser>
          <c:idx val="5"/>
          <c:order val="3"/>
          <c:tx>
            <c:strRef>
              <c:f>'Figur 2'!$M$21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'Figur 2'!$A$22:$A$25</c:f>
              <c:strCache/>
            </c:strRef>
          </c:cat>
          <c:val>
            <c:numRef>
              <c:f>'Figur 2'!$M$22:$M$25</c:f>
              <c:numCache/>
            </c:numRef>
          </c:val>
          <c:smooth val="0"/>
        </c:ser>
        <c:ser>
          <c:idx val="6"/>
          <c:order val="4"/>
          <c:tx>
            <c:strRef>
              <c:f>'Figur 2'!$N$21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'Figur 2'!$A$22:$A$25</c:f>
              <c:strCache/>
            </c:strRef>
          </c:cat>
          <c:val>
            <c:numRef>
              <c:f>'Figur 2'!$N$22:$N$25</c:f>
              <c:numCache/>
            </c:numRef>
          </c:val>
          <c:smooth val="0"/>
        </c:ser>
        <c:ser>
          <c:idx val="0"/>
          <c:order val="5"/>
          <c:tx>
            <c:strRef>
              <c:f>'Figur 2'!$O$21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'Figur 2'!$A$22:$A$25</c:f>
              <c:strCache/>
            </c:strRef>
          </c:cat>
          <c:val>
            <c:numRef>
              <c:f>'Figur 2'!$O$22:$O$25</c:f>
              <c:numCache/>
            </c:numRef>
          </c:val>
          <c:smooth val="0"/>
        </c:ser>
        <c:ser>
          <c:idx val="1"/>
          <c:order val="6"/>
          <c:tx>
            <c:strRef>
              <c:f>'Figur 2'!$P$21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'Figur 2'!$A$22:$A$25</c:f>
              <c:strCache/>
            </c:strRef>
          </c:cat>
          <c:val>
            <c:numRef>
              <c:f>'Figur 2'!$P$22:$P$25</c:f>
              <c:numCache/>
            </c:numRef>
          </c:val>
          <c:smooth val="0"/>
        </c:ser>
        <c:marker val="1"/>
        <c:axId val="32038484"/>
        <c:axId val="19910901"/>
      </c:lineChart>
      <c:catAx>
        <c:axId val="32038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10901"/>
        <c:crosses val="autoZero"/>
        <c:auto val="1"/>
        <c:lblOffset val="100"/>
        <c:tickLblSkip val="1"/>
        <c:noMultiLvlLbl val="0"/>
      </c:catAx>
      <c:valAx>
        <c:axId val="199109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38484"/>
        <c:crossesAt val="1"/>
        <c:crossBetween val="between"/>
        <c:dispUnits/>
        <c:majorUnit val="1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8"/>
          <c:y val="0.27125"/>
          <c:w val="0.11025"/>
          <c:h val="0.4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0.58375</cdr:x>
      <cdr:y>0.36075</cdr:y>
    </cdr:from>
    <cdr:to>
      <cdr:x>0.795</cdr:x>
      <cdr:y>0.456</cdr:y>
    </cdr:to>
    <cdr:sp>
      <cdr:nvSpPr>
        <cdr:cNvPr id="1" name="Text Box 5"/>
        <cdr:cNvSpPr txBox="1">
          <a:spLocks noChangeArrowheads="1"/>
        </cdr:cNvSpPr>
      </cdr:nvSpPr>
      <cdr:spPr>
        <a:xfrm>
          <a:off x="3495675" y="1009650"/>
          <a:ext cx="1266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85725</xdr:rowOff>
    </xdr:from>
    <xdr:to>
      <xdr:col>7</xdr:col>
      <xdr:colOff>704850</xdr:colOff>
      <xdr:row>18</xdr:row>
      <xdr:rowOff>142875</xdr:rowOff>
    </xdr:to>
    <xdr:graphicFrame>
      <xdr:nvGraphicFramePr>
        <xdr:cNvPr id="1" name="Diagram 1"/>
        <xdr:cNvGraphicFramePr/>
      </xdr:nvGraphicFramePr>
      <xdr:xfrm>
        <a:off x="257175" y="247650"/>
        <a:ext cx="60007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142875</xdr:rowOff>
    </xdr:from>
    <xdr:to>
      <xdr:col>6</xdr:col>
      <xdr:colOff>609600</xdr:colOff>
      <xdr:row>18</xdr:row>
      <xdr:rowOff>19050</xdr:rowOff>
    </xdr:to>
    <xdr:graphicFrame>
      <xdr:nvGraphicFramePr>
        <xdr:cNvPr id="1" name="Diagram 2"/>
        <xdr:cNvGraphicFramePr/>
      </xdr:nvGraphicFramePr>
      <xdr:xfrm>
        <a:off x="123825" y="142875"/>
        <a:ext cx="51816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G41" sqref="G41"/>
    </sheetView>
  </sheetViews>
  <sheetFormatPr defaultColWidth="11.421875" defaultRowHeight="12.75"/>
  <cols>
    <col min="1" max="1" width="37.00390625" style="0" customWidth="1"/>
    <col min="2" max="2" width="17.7109375" style="0" customWidth="1"/>
    <col min="3" max="3" width="7.57421875" style="16" customWidth="1"/>
    <col min="4" max="4" width="9.7109375" style="0" customWidth="1"/>
  </cols>
  <sheetData>
    <row r="1" spans="1:4" ht="12.75">
      <c r="A1" s="14" t="s">
        <v>182</v>
      </c>
      <c r="D1" s="14"/>
    </row>
    <row r="2" spans="1:4" ht="12.75">
      <c r="A2" s="14"/>
      <c r="D2" s="14"/>
    </row>
    <row r="3" spans="1:8" ht="12.75" customHeight="1">
      <c r="A3" s="14"/>
      <c r="B3" s="145">
        <v>43465</v>
      </c>
      <c r="C3" s="11"/>
      <c r="D3" s="14"/>
      <c r="G3" s="26"/>
      <c r="H3" s="26"/>
    </row>
    <row r="4" spans="1:8" ht="12.75">
      <c r="A4" s="1"/>
      <c r="B4" s="71"/>
      <c r="C4" s="12"/>
      <c r="D4" s="78" t="s">
        <v>85</v>
      </c>
      <c r="E4" s="78" t="s">
        <v>86</v>
      </c>
      <c r="G4" s="26"/>
      <c r="H4" s="26"/>
    </row>
    <row r="5" spans="1:8" ht="12.75">
      <c r="A5" t="s">
        <v>183</v>
      </c>
      <c r="C5" s="66"/>
      <c r="D5" s="55"/>
      <c r="E5" s="55"/>
      <c r="G5" s="26"/>
      <c r="H5" s="26"/>
    </row>
    <row r="6" spans="1:9" ht="12.75">
      <c r="A6" t="s">
        <v>184</v>
      </c>
      <c r="B6" s="24">
        <f>D6/E6*100</f>
        <v>98.96874148689933</v>
      </c>
      <c r="C6" s="66"/>
      <c r="D6" s="68">
        <f>'Tabell 2'!D79</f>
        <v>5282320</v>
      </c>
      <c r="E6" s="67">
        <f>SUM(D6:D10)</f>
        <v>5337362</v>
      </c>
      <c r="G6" s="147"/>
      <c r="H6" s="26"/>
      <c r="I6" s="26"/>
    </row>
    <row r="7" spans="1:9" ht="12.75">
      <c r="A7" t="s">
        <v>183</v>
      </c>
      <c r="C7" s="66"/>
      <c r="D7" s="67"/>
      <c r="E7" s="67"/>
      <c r="G7" s="147"/>
      <c r="H7" s="26" t="s">
        <v>342</v>
      </c>
      <c r="I7" s="26"/>
    </row>
    <row r="8" spans="1:9" ht="12.75">
      <c r="A8" t="s">
        <v>414</v>
      </c>
      <c r="B8" s="24">
        <f>D8/E8*100</f>
        <v>1.0312585131006666</v>
      </c>
      <c r="C8" s="66"/>
      <c r="D8" s="68">
        <f>'Tabell 3'!D79</f>
        <v>55042</v>
      </c>
      <c r="E8" s="67">
        <f>SUM(D6:D10)</f>
        <v>5337362</v>
      </c>
      <c r="G8" s="147"/>
      <c r="H8" s="26" t="s">
        <v>343</v>
      </c>
      <c r="I8" s="26"/>
    </row>
    <row r="9" spans="1:9" ht="13.5" thickBot="1">
      <c r="A9" s="16" t="s">
        <v>185</v>
      </c>
      <c r="C9" s="66"/>
      <c r="D9" s="67"/>
      <c r="E9" s="67"/>
      <c r="G9" s="147"/>
      <c r="H9" s="26"/>
      <c r="I9" s="26"/>
    </row>
    <row r="10" spans="1:9" ht="13.5" thickTop="1">
      <c r="A10" s="1" t="s">
        <v>186</v>
      </c>
      <c r="B10" s="61">
        <f>D10/E10*100</f>
        <v>0</v>
      </c>
      <c r="C10" s="61"/>
      <c r="D10" s="150">
        <v>0</v>
      </c>
      <c r="E10" s="72">
        <f>SUM(D6:D10)</f>
        <v>5337362</v>
      </c>
      <c r="G10" s="162" t="s">
        <v>350</v>
      </c>
      <c r="H10" s="204" t="s">
        <v>461</v>
      </c>
      <c r="I10" s="26"/>
    </row>
    <row r="11" spans="1:9" ht="15" thickBot="1">
      <c r="A11" s="16" t="s">
        <v>197</v>
      </c>
      <c r="C11" s="66"/>
      <c r="D11" s="39"/>
      <c r="E11" s="39"/>
      <c r="G11" s="156">
        <v>2010</v>
      </c>
      <c r="H11" s="205">
        <v>2018</v>
      </c>
      <c r="I11" s="26"/>
    </row>
    <row r="12" spans="1:9" ht="12.75">
      <c r="A12" s="1" t="s">
        <v>196</v>
      </c>
      <c r="B12" s="61">
        <f>D12/E12*100</f>
        <v>0.23402385323638913</v>
      </c>
      <c r="C12" s="61"/>
      <c r="D12" s="150">
        <f>'Tabell 7 ny'!G78</f>
        <v>12520</v>
      </c>
      <c r="E12" s="72">
        <f>SUM(D6:D10,D12)</f>
        <v>5349882</v>
      </c>
      <c r="G12" s="159">
        <v>98.86521675317388</v>
      </c>
      <c r="H12" s="206">
        <v>99</v>
      </c>
      <c r="I12" s="26"/>
    </row>
    <row r="13" spans="1:8" ht="14.25">
      <c r="A13" t="s">
        <v>110</v>
      </c>
      <c r="C13" s="66"/>
      <c r="D13" s="39"/>
      <c r="E13" s="39"/>
      <c r="G13" s="159">
        <v>0.8528582693672621</v>
      </c>
      <c r="H13" s="206">
        <v>1</v>
      </c>
    </row>
    <row r="14" spans="1:8" ht="13.5" thickBot="1">
      <c r="A14" t="s">
        <v>187</v>
      </c>
      <c r="B14" s="24">
        <f>D14/E14*100</f>
        <v>1.9980657111134676</v>
      </c>
      <c r="C14" s="66"/>
      <c r="D14" s="45">
        <f>'Tabell 9'!C57</f>
        <v>106644</v>
      </c>
      <c r="E14" s="73">
        <f>D6+D8</f>
        <v>5337362</v>
      </c>
      <c r="G14" s="160">
        <v>0.281924977458862</v>
      </c>
      <c r="H14" s="207">
        <v>0</v>
      </c>
    </row>
    <row r="15" spans="1:8" ht="15" thickBot="1">
      <c r="A15" s="16" t="s">
        <v>273</v>
      </c>
      <c r="C15" s="66"/>
      <c r="D15" s="67"/>
      <c r="E15" s="73"/>
      <c r="G15" s="160">
        <v>0.4152059075720141</v>
      </c>
      <c r="H15" s="207">
        <v>0.2</v>
      </c>
    </row>
    <row r="16" spans="1:8" ht="12.75">
      <c r="A16" s="1" t="s">
        <v>191</v>
      </c>
      <c r="B16" s="61">
        <f>D16/E16*100</f>
        <v>1.8635235908675485</v>
      </c>
      <c r="C16" s="61"/>
      <c r="D16" s="43">
        <f>'Tabell 9'!L57</f>
        <v>99463</v>
      </c>
      <c r="E16" s="74">
        <f>E14</f>
        <v>5337362</v>
      </c>
      <c r="G16" s="159">
        <v>1.2613484926335872</v>
      </c>
      <c r="H16" s="206">
        <v>2</v>
      </c>
    </row>
    <row r="17" spans="1:9" ht="12.75">
      <c r="A17" s="63" t="s">
        <v>415</v>
      </c>
      <c r="B17" s="64">
        <f>D17/E17*100</f>
        <v>2.035002035002035</v>
      </c>
      <c r="C17" s="64"/>
      <c r="D17" s="65">
        <f>'Tabell 12'!K26</f>
        <v>100</v>
      </c>
      <c r="E17" s="146">
        <f>E21+D17</f>
        <v>4914</v>
      </c>
      <c r="G17" s="159">
        <v>1.0047062339688149</v>
      </c>
      <c r="H17" s="206">
        <v>1.9</v>
      </c>
      <c r="I17" s="170"/>
    </row>
    <row r="18" spans="1:8" ht="13.5" thickBot="1">
      <c r="A18" s="16" t="s">
        <v>319</v>
      </c>
      <c r="B18" s="66">
        <f>D18/E18*100</f>
        <v>32.07312006647279</v>
      </c>
      <c r="C18" s="66"/>
      <c r="D18" s="68">
        <f>'Tabell 12'!N26</f>
        <v>1544</v>
      </c>
      <c r="E18" s="45">
        <f>'Tabell 12'!M26</f>
        <v>4814</v>
      </c>
      <c r="G18" s="160">
        <v>1.534404219611604</v>
      </c>
      <c r="H18" s="207">
        <v>2</v>
      </c>
    </row>
    <row r="19" spans="1:9" ht="14.25">
      <c r="A19" s="1" t="s">
        <v>320</v>
      </c>
      <c r="B19" s="61">
        <f>D19/E19*100</f>
        <v>3.751391165488746</v>
      </c>
      <c r="C19" s="61"/>
      <c r="D19" s="62">
        <f>'Tabell 2'!J79</f>
        <v>205884</v>
      </c>
      <c r="E19" s="74">
        <f>D6+D19</f>
        <v>5488204</v>
      </c>
      <c r="G19" s="159">
        <v>43.413683954224496</v>
      </c>
      <c r="H19" s="206">
        <v>32.1</v>
      </c>
      <c r="I19" s="170"/>
    </row>
    <row r="20" spans="1:8" ht="13.5" thickBot="1">
      <c r="A20" t="s">
        <v>279</v>
      </c>
      <c r="C20" s="66"/>
      <c r="D20" s="55"/>
      <c r="E20" s="55"/>
      <c r="G20" s="160">
        <v>6.262900819323596</v>
      </c>
      <c r="H20" s="207">
        <v>3.8</v>
      </c>
    </row>
    <row r="21" spans="1:8" ht="12.75">
      <c r="A21" t="s">
        <v>195</v>
      </c>
      <c r="B21" s="24">
        <f>D21/E21*100</f>
        <v>20.689655172413794</v>
      </c>
      <c r="C21" s="66"/>
      <c r="D21" s="45">
        <f>'Tabell 6'!E84</f>
        <v>996</v>
      </c>
      <c r="E21" s="67">
        <f>E18</f>
        <v>4814</v>
      </c>
      <c r="G21" s="159">
        <v>4.6749452154857565</v>
      </c>
      <c r="H21" s="206">
        <v>20.7</v>
      </c>
    </row>
    <row r="22" spans="1:8" ht="12.75">
      <c r="A22" t="s">
        <v>280</v>
      </c>
      <c r="C22" s="66"/>
      <c r="D22" s="55"/>
      <c r="E22" s="55"/>
      <c r="G22" s="159">
        <v>8.643778914049184</v>
      </c>
      <c r="H22" s="206">
        <v>6.8</v>
      </c>
    </row>
    <row r="23" spans="1:8" ht="13.5" thickBot="1">
      <c r="A23" t="s">
        <v>194</v>
      </c>
      <c r="B23" s="24">
        <f>D23/E23*100</f>
        <v>6.77191524719568</v>
      </c>
      <c r="C23" s="66"/>
      <c r="D23" s="45">
        <f>'Tabell 6'!F84</f>
        <v>326</v>
      </c>
      <c r="E23" s="67">
        <f>E18</f>
        <v>4814</v>
      </c>
      <c r="G23" s="160">
        <v>5.989773557341125</v>
      </c>
      <c r="H23" s="207">
        <v>15.2</v>
      </c>
    </row>
    <row r="24" spans="1:8" ht="13.5" thickBot="1">
      <c r="A24" s="16" t="s">
        <v>279</v>
      </c>
      <c r="C24" s="66"/>
      <c r="D24" s="55"/>
      <c r="E24" s="55"/>
      <c r="G24" s="160">
        <v>34.964521654024956</v>
      </c>
      <c r="H24" s="207">
        <v>43.5</v>
      </c>
    </row>
    <row r="25" spans="1:8" ht="13.5" thickBot="1">
      <c r="A25" s="1" t="s">
        <v>111</v>
      </c>
      <c r="B25" s="61">
        <f>D25/E25*100</f>
        <v>15.247195679268799</v>
      </c>
      <c r="C25" s="61"/>
      <c r="D25" s="45">
        <f>'Tabell 6'!G84</f>
        <v>734</v>
      </c>
      <c r="E25" s="72">
        <f>E18</f>
        <v>4814</v>
      </c>
      <c r="G25" s="157">
        <v>48.5</v>
      </c>
      <c r="H25" s="208">
        <v>47.5</v>
      </c>
    </row>
    <row r="26" spans="1:8" ht="12.75">
      <c r="A26" s="63" t="s">
        <v>79</v>
      </c>
      <c r="B26" s="64">
        <f aca="true" t="shared" si="0" ref="B26:B32">D26/E26*100</f>
        <v>43.4719030708168</v>
      </c>
      <c r="C26" s="61"/>
      <c r="D26" s="65">
        <f>'Tabell 5'!C77</f>
        <v>2081</v>
      </c>
      <c r="E26" s="65">
        <f>'Tabell 5'!J77</f>
        <v>4787</v>
      </c>
      <c r="G26" s="165">
        <v>1.3457303645705898</v>
      </c>
      <c r="H26" s="209">
        <v>2</v>
      </c>
    </row>
    <row r="27" spans="1:8" ht="12.75">
      <c r="A27" s="20" t="s">
        <v>294</v>
      </c>
      <c r="B27" s="140">
        <v>47.5</v>
      </c>
      <c r="C27" s="66"/>
      <c r="D27" s="39"/>
      <c r="E27" s="39"/>
      <c r="G27" s="165">
        <v>24.492292635184732</v>
      </c>
      <c r="H27" s="209">
        <v>27.8</v>
      </c>
    </row>
    <row r="28" spans="1:8" ht="12.75">
      <c r="A28" t="s">
        <v>80</v>
      </c>
      <c r="B28" s="24">
        <f t="shared" si="0"/>
        <v>2.00543137664508</v>
      </c>
      <c r="C28" s="66"/>
      <c r="D28" s="45">
        <f>'Tabell 5'!D77</f>
        <v>96</v>
      </c>
      <c r="E28" s="67">
        <f>E26</f>
        <v>4787</v>
      </c>
      <c r="G28" s="165">
        <v>40.10276486420357</v>
      </c>
      <c r="H28" s="209">
        <v>38.9</v>
      </c>
    </row>
    <row r="29" spans="1:8" ht="12.75">
      <c r="A29" t="s">
        <v>81</v>
      </c>
      <c r="B29" s="24">
        <f t="shared" si="0"/>
        <v>27.846250261123878</v>
      </c>
      <c r="C29" s="66"/>
      <c r="D29" s="45">
        <f>'Tabell 5'!E77</f>
        <v>1333</v>
      </c>
      <c r="E29" s="67">
        <f>E26</f>
        <v>4787</v>
      </c>
      <c r="G29" s="165">
        <v>32.1507218008319</v>
      </c>
      <c r="H29" s="209">
        <v>27.2</v>
      </c>
    </row>
    <row r="30" spans="1:8" ht="13.5" thickBot="1">
      <c r="A30" t="s">
        <v>82</v>
      </c>
      <c r="B30" s="24">
        <f t="shared" si="0"/>
        <v>38.938792563191974</v>
      </c>
      <c r="C30" s="66"/>
      <c r="D30" s="45">
        <f>'Tabell 5'!F77</f>
        <v>1864</v>
      </c>
      <c r="E30" s="67">
        <f>E26</f>
        <v>4787</v>
      </c>
      <c r="G30" s="166">
        <v>1.9084903352091998</v>
      </c>
      <c r="H30" s="208">
        <v>4.1</v>
      </c>
    </row>
    <row r="31" spans="1:8" ht="15.75">
      <c r="A31" t="s">
        <v>83</v>
      </c>
      <c r="B31" s="24">
        <f t="shared" si="0"/>
        <v>27.15688322540213</v>
      </c>
      <c r="C31" s="66"/>
      <c r="D31" s="45">
        <f>'Tabell 5'!G77</f>
        <v>1300</v>
      </c>
      <c r="E31" s="67">
        <f>E26</f>
        <v>4787</v>
      </c>
      <c r="G31" s="163"/>
      <c r="H31" s="209">
        <v>64.5</v>
      </c>
    </row>
    <row r="32" spans="1:8" ht="15.75">
      <c r="A32" s="1" t="s">
        <v>84</v>
      </c>
      <c r="B32" s="61">
        <f t="shared" si="0"/>
        <v>4.052642573636933</v>
      </c>
      <c r="C32" s="61"/>
      <c r="D32" s="43">
        <f>'Tabell 5'!H77</f>
        <v>194</v>
      </c>
      <c r="E32" s="67">
        <f>E26</f>
        <v>4787</v>
      </c>
      <c r="G32" s="163"/>
      <c r="H32" s="209">
        <v>3.4</v>
      </c>
    </row>
    <row r="33" spans="1:8" ht="16.5" thickBot="1">
      <c r="A33" t="s">
        <v>402</v>
      </c>
      <c r="B33" s="24"/>
      <c r="C33" s="66"/>
      <c r="D33" s="67"/>
      <c r="E33" s="67"/>
      <c r="G33" s="164"/>
      <c r="H33" s="208">
        <v>3.1</v>
      </c>
    </row>
    <row r="34" spans="1:8" ht="13.5" thickBot="1">
      <c r="A34" t="s">
        <v>188</v>
      </c>
      <c r="B34" s="202">
        <f>'Tabell 6'!I84</f>
        <v>64.49937681761529</v>
      </c>
      <c r="C34" s="137"/>
      <c r="D34" s="59"/>
      <c r="E34" s="67">
        <f>E26</f>
        <v>4787</v>
      </c>
      <c r="G34" s="157"/>
      <c r="H34" s="210">
        <v>0</v>
      </c>
    </row>
    <row r="35" spans="1:9" ht="13.5" thickBot="1">
      <c r="A35" t="s">
        <v>402</v>
      </c>
      <c r="B35" s="67"/>
      <c r="C35" s="137"/>
      <c r="D35" s="67"/>
      <c r="E35" s="67"/>
      <c r="G35" s="158">
        <v>108</v>
      </c>
      <c r="H35" s="211">
        <v>134</v>
      </c>
      <c r="I35" s="55"/>
    </row>
    <row r="36" spans="1:8" ht="13.5" thickTop="1">
      <c r="A36" t="s">
        <v>189</v>
      </c>
      <c r="B36" s="202">
        <f>'Tabell 6'!J84</f>
        <v>3.3651848774407975</v>
      </c>
      <c r="C36" s="137"/>
      <c r="D36" s="59"/>
      <c r="E36" s="67">
        <f>E26</f>
        <v>4787</v>
      </c>
      <c r="H36" s="161"/>
    </row>
    <row r="37" spans="1:8" ht="12.75">
      <c r="A37" s="16" t="s">
        <v>403</v>
      </c>
      <c r="B37" s="67"/>
      <c r="C37" s="137"/>
      <c r="D37" s="67"/>
      <c r="E37" s="67"/>
      <c r="H37" s="161"/>
    </row>
    <row r="38" spans="1:5" ht="12.75">
      <c r="A38" s="1" t="s">
        <v>190</v>
      </c>
      <c r="B38" s="203">
        <f>'Tabell 6'!K84</f>
        <v>3.1159119235562938</v>
      </c>
      <c r="C38" s="142"/>
      <c r="D38" s="144"/>
      <c r="E38" s="72">
        <f>E26</f>
        <v>4787</v>
      </c>
    </row>
    <row r="39" spans="1:5" ht="12.75">
      <c r="A39" t="s">
        <v>193</v>
      </c>
      <c r="B39" s="66"/>
      <c r="C39" s="66"/>
      <c r="D39" s="39"/>
      <c r="E39" s="39"/>
    </row>
    <row r="40" spans="1:5" ht="12.75">
      <c r="A40" s="1" t="s">
        <v>192</v>
      </c>
      <c r="B40" s="43">
        <v>0</v>
      </c>
      <c r="D40" s="39"/>
      <c r="E40" s="93"/>
    </row>
    <row r="41" spans="1:5" ht="12.75">
      <c r="A41" s="20" t="s">
        <v>240</v>
      </c>
      <c r="B41" s="39"/>
      <c r="D41" s="39"/>
      <c r="E41" s="93"/>
    </row>
    <row r="42" spans="1:5" ht="12.75">
      <c r="A42" s="125" t="s">
        <v>241</v>
      </c>
      <c r="B42" s="43">
        <f>'Tabell 11'!B27</f>
        <v>134</v>
      </c>
      <c r="C42" s="172"/>
      <c r="E42" s="93"/>
    </row>
    <row r="43" spans="1:9" ht="12.75">
      <c r="A43" t="s">
        <v>115</v>
      </c>
      <c r="I43" s="26"/>
    </row>
    <row r="44" ht="12.75">
      <c r="A44" t="s">
        <v>114</v>
      </c>
    </row>
    <row r="45" ht="12.75">
      <c r="A45" t="s">
        <v>116</v>
      </c>
    </row>
    <row r="46" ht="12.75">
      <c r="A46" t="s">
        <v>117</v>
      </c>
    </row>
    <row r="47" ht="12.75">
      <c r="A47" t="s">
        <v>322</v>
      </c>
    </row>
    <row r="48" ht="12.75">
      <c r="A48" t="s">
        <v>323</v>
      </c>
    </row>
    <row r="49" ht="12.75">
      <c r="A49" t="s">
        <v>321</v>
      </c>
    </row>
    <row r="50" ht="12.75">
      <c r="A50" s="55" t="s">
        <v>123</v>
      </c>
    </row>
  </sheetData>
  <sheetProtection/>
  <printOptions gridLines="1"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H65" sqref="H65"/>
    </sheetView>
  </sheetViews>
  <sheetFormatPr defaultColWidth="11.421875" defaultRowHeight="12.75"/>
  <cols>
    <col min="1" max="1" width="12.8515625" style="0" customWidth="1"/>
    <col min="2" max="2" width="7.57421875" style="0" customWidth="1"/>
    <col min="3" max="3" width="7.7109375" style="0" customWidth="1"/>
    <col min="4" max="4" width="12.421875" style="0" customWidth="1"/>
    <col min="5" max="5" width="9.140625" style="0" customWidth="1"/>
    <col min="6" max="6" width="10.57421875" style="0" customWidth="1"/>
    <col min="9" max="9" width="9.28125" style="0" customWidth="1"/>
    <col min="10" max="11" width="9.7109375" style="0" customWidth="1"/>
    <col min="12" max="12" width="10.8515625" style="0" customWidth="1"/>
    <col min="13" max="13" width="12.421875" style="0" customWidth="1"/>
  </cols>
  <sheetData>
    <row r="1" ht="12.75">
      <c r="A1" s="27" t="s">
        <v>109</v>
      </c>
    </row>
    <row r="2" spans="1:13" ht="12.75">
      <c r="A2" s="33"/>
      <c r="B2" s="13"/>
      <c r="C2" s="13"/>
      <c r="D2" s="13"/>
      <c r="E2" s="13"/>
      <c r="F2" s="13"/>
      <c r="G2" s="13"/>
      <c r="H2" s="13"/>
      <c r="I2" s="13"/>
      <c r="K2" s="13"/>
      <c r="L2" s="13"/>
      <c r="M2" s="13"/>
    </row>
    <row r="3" spans="1:13" ht="12.75">
      <c r="A3" s="223"/>
      <c r="B3" s="220"/>
      <c r="C3" s="281" t="s">
        <v>208</v>
      </c>
      <c r="D3" s="282"/>
      <c r="E3" s="282"/>
      <c r="F3" s="282"/>
      <c r="G3" s="282"/>
      <c r="H3" s="282"/>
      <c r="I3" s="282"/>
      <c r="J3" s="282"/>
      <c r="K3" s="221"/>
      <c r="L3" s="123"/>
      <c r="M3" s="18"/>
    </row>
    <row r="4" spans="1:13" ht="12.75">
      <c r="A4" s="212"/>
      <c r="B4" s="7"/>
      <c r="C4" s="216"/>
      <c r="D4" s="213"/>
      <c r="E4" s="213" t="s">
        <v>274</v>
      </c>
      <c r="F4" s="213" t="s">
        <v>275</v>
      </c>
      <c r="G4" s="213" t="s">
        <v>275</v>
      </c>
      <c r="H4" s="213" t="s">
        <v>275</v>
      </c>
      <c r="I4" s="213" t="s">
        <v>209</v>
      </c>
      <c r="J4" s="213"/>
      <c r="K4" s="276" t="s">
        <v>384</v>
      </c>
      <c r="L4" s="277"/>
      <c r="M4" s="278"/>
    </row>
    <row r="5" spans="1:13" ht="12.75">
      <c r="A5" s="100"/>
      <c r="B5" s="9" t="s">
        <v>198</v>
      </c>
      <c r="C5" s="217"/>
      <c r="D5" s="12"/>
      <c r="E5" s="12" t="s">
        <v>207</v>
      </c>
      <c r="F5" s="12" t="s">
        <v>271</v>
      </c>
      <c r="G5" s="12" t="s">
        <v>276</v>
      </c>
      <c r="H5" s="12" t="s">
        <v>276</v>
      </c>
      <c r="I5" s="12" t="s">
        <v>41</v>
      </c>
      <c r="J5" s="12"/>
      <c r="K5" s="279" t="s">
        <v>394</v>
      </c>
      <c r="L5" s="275"/>
      <c r="M5" s="280"/>
    </row>
    <row r="6" spans="1:13" ht="12.75">
      <c r="A6" s="228" t="s">
        <v>391</v>
      </c>
      <c r="B6" s="229"/>
      <c r="C6" s="230"/>
      <c r="D6" s="231" t="s">
        <v>387</v>
      </c>
      <c r="E6" s="231" t="s">
        <v>388</v>
      </c>
      <c r="F6" s="231"/>
      <c r="G6" s="231"/>
      <c r="H6" s="231"/>
      <c r="I6" s="231"/>
      <c r="J6" s="231" t="s">
        <v>388</v>
      </c>
      <c r="K6" s="230"/>
      <c r="L6" s="231" t="s">
        <v>383</v>
      </c>
      <c r="M6" s="232" t="s">
        <v>385</v>
      </c>
    </row>
    <row r="7" spans="1:13" ht="12.75">
      <c r="A7" s="228"/>
      <c r="B7" s="229"/>
      <c r="C7" s="233" t="s">
        <v>159</v>
      </c>
      <c r="D7" s="231" t="s">
        <v>386</v>
      </c>
      <c r="E7" s="231" t="s">
        <v>389</v>
      </c>
      <c r="F7" s="231"/>
      <c r="G7" s="231"/>
      <c r="H7" s="231"/>
      <c r="I7" s="231"/>
      <c r="J7" s="231" t="s">
        <v>389</v>
      </c>
      <c r="K7" s="230" t="s">
        <v>159</v>
      </c>
      <c r="L7" s="231" t="s">
        <v>137</v>
      </c>
      <c r="M7" s="232" t="s">
        <v>390</v>
      </c>
    </row>
    <row r="8" spans="1:13" ht="12.75">
      <c r="A8" s="234"/>
      <c r="B8" s="235"/>
      <c r="C8" s="236"/>
      <c r="D8" s="237"/>
      <c r="E8" s="237"/>
      <c r="F8" s="237"/>
      <c r="G8" s="237"/>
      <c r="H8" s="237"/>
      <c r="I8" s="237"/>
      <c r="J8" s="237"/>
      <c r="K8" s="236"/>
      <c r="L8" s="237" t="s">
        <v>136</v>
      </c>
      <c r="M8" s="238"/>
    </row>
    <row r="9" spans="1:13" ht="12.75">
      <c r="A9" s="214" t="s">
        <v>392</v>
      </c>
      <c r="B9" s="81" t="s">
        <v>205</v>
      </c>
      <c r="C9" s="184"/>
      <c r="D9" s="129" t="s">
        <v>47</v>
      </c>
      <c r="E9" s="129" t="s">
        <v>269</v>
      </c>
      <c r="F9" s="129" t="s">
        <v>291</v>
      </c>
      <c r="G9" s="129" t="s">
        <v>277</v>
      </c>
      <c r="H9" s="129" t="s">
        <v>278</v>
      </c>
      <c r="I9" s="129" t="s">
        <v>155</v>
      </c>
      <c r="J9" s="129" t="s">
        <v>303</v>
      </c>
      <c r="K9" s="184"/>
      <c r="L9" s="129" t="s">
        <v>157</v>
      </c>
      <c r="M9" s="82" t="s">
        <v>156</v>
      </c>
    </row>
    <row r="10" spans="1:13" ht="12.75">
      <c r="A10" s="215" t="s">
        <v>393</v>
      </c>
      <c r="B10" s="83" t="s">
        <v>206</v>
      </c>
      <c r="C10" s="218" t="s">
        <v>159</v>
      </c>
      <c r="D10" s="103" t="s">
        <v>36</v>
      </c>
      <c r="E10" s="78" t="s">
        <v>270</v>
      </c>
      <c r="F10" s="78" t="s">
        <v>272</v>
      </c>
      <c r="G10" s="78" t="s">
        <v>136</v>
      </c>
      <c r="H10" s="78" t="s">
        <v>136</v>
      </c>
      <c r="I10" s="103" t="s">
        <v>29</v>
      </c>
      <c r="J10" s="103" t="s">
        <v>42</v>
      </c>
      <c r="K10" s="222" t="s">
        <v>159</v>
      </c>
      <c r="L10" s="103" t="s">
        <v>136</v>
      </c>
      <c r="M10" s="219" t="s">
        <v>136</v>
      </c>
    </row>
    <row r="11" spans="1:13" ht="12.75" customHeight="1" hidden="1">
      <c r="A11" s="38" t="s">
        <v>308</v>
      </c>
      <c r="B11" s="109">
        <f aca="true" t="shared" si="0" ref="B11:B19">C11+K11</f>
        <v>96809</v>
      </c>
      <c r="C11" s="109">
        <f aca="true" t="shared" si="1" ref="C11:C19">D11+E11+F11+G11+H11+J11</f>
        <v>68421</v>
      </c>
      <c r="D11" s="105">
        <v>48878</v>
      </c>
      <c r="E11" s="105">
        <v>15395</v>
      </c>
      <c r="F11" s="105">
        <v>4</v>
      </c>
      <c r="G11" s="105">
        <v>3150</v>
      </c>
      <c r="H11" s="105">
        <v>422</v>
      </c>
      <c r="I11" s="109"/>
      <c r="J11" s="107">
        <v>572</v>
      </c>
      <c r="K11" s="96">
        <f>L11+M11</f>
        <v>28388</v>
      </c>
      <c r="L11" s="108">
        <v>26138</v>
      </c>
      <c r="M11" s="108">
        <v>2250</v>
      </c>
    </row>
    <row r="12" spans="1:13" ht="12.75" customHeight="1" hidden="1">
      <c r="A12" s="38" t="s">
        <v>309</v>
      </c>
      <c r="B12" s="109">
        <f t="shared" si="0"/>
        <v>169261</v>
      </c>
      <c r="C12" s="109">
        <f t="shared" si="1"/>
        <v>85901</v>
      </c>
      <c r="D12" s="105">
        <v>55333</v>
      </c>
      <c r="E12" s="105">
        <v>24693</v>
      </c>
      <c r="F12" s="105">
        <v>2</v>
      </c>
      <c r="G12" s="105">
        <v>4449</v>
      </c>
      <c r="H12" s="105">
        <v>464</v>
      </c>
      <c r="I12" s="109"/>
      <c r="J12" s="107">
        <v>960</v>
      </c>
      <c r="K12" s="96">
        <f>L12+M12</f>
        <v>83360</v>
      </c>
      <c r="L12" s="108">
        <v>76994</v>
      </c>
      <c r="M12" s="108">
        <v>6366</v>
      </c>
    </row>
    <row r="13" spans="1:13" ht="12.75" customHeight="1" hidden="1">
      <c r="A13" s="38" t="s">
        <v>310</v>
      </c>
      <c r="B13" s="109">
        <f t="shared" si="0"/>
        <v>149629</v>
      </c>
      <c r="C13" s="109">
        <f t="shared" si="1"/>
        <v>80858</v>
      </c>
      <c r="D13" s="105">
        <v>54148</v>
      </c>
      <c r="E13" s="105">
        <v>20502</v>
      </c>
      <c r="F13" s="105">
        <v>0</v>
      </c>
      <c r="G13" s="105">
        <v>4485</v>
      </c>
      <c r="H13" s="105">
        <v>784</v>
      </c>
      <c r="I13" s="109"/>
      <c r="J13" s="107">
        <v>939</v>
      </c>
      <c r="K13" s="96">
        <f>L13+M13</f>
        <v>68771</v>
      </c>
      <c r="L13" s="108">
        <v>61379</v>
      </c>
      <c r="M13" s="108">
        <v>7392</v>
      </c>
    </row>
    <row r="14" spans="1:13" ht="12.75" customHeight="1" hidden="1">
      <c r="A14" s="38" t="s">
        <v>332</v>
      </c>
      <c r="B14" s="109">
        <f t="shared" si="0"/>
        <v>151459</v>
      </c>
      <c r="C14" s="109">
        <f t="shared" si="1"/>
        <v>90723</v>
      </c>
      <c r="D14" s="105">
        <v>64330</v>
      </c>
      <c r="E14" s="105">
        <v>19034</v>
      </c>
      <c r="F14" s="105">
        <v>1</v>
      </c>
      <c r="G14" s="105">
        <v>4818</v>
      </c>
      <c r="H14" s="105">
        <v>1627</v>
      </c>
      <c r="I14" s="109"/>
      <c r="J14" s="107">
        <v>913</v>
      </c>
      <c r="K14" s="96">
        <f aca="true" t="shared" si="2" ref="K14:K19">L14+M14</f>
        <v>60736</v>
      </c>
      <c r="L14" s="108">
        <v>54764</v>
      </c>
      <c r="M14" s="108">
        <v>5972</v>
      </c>
    </row>
    <row r="15" spans="1:13" ht="12.75" customHeight="1" hidden="1">
      <c r="A15" s="38" t="s">
        <v>334</v>
      </c>
      <c r="B15" s="109">
        <f t="shared" si="0"/>
        <v>119977</v>
      </c>
      <c r="C15" s="26">
        <f t="shared" si="1"/>
        <v>73557</v>
      </c>
      <c r="D15" s="40">
        <v>54321</v>
      </c>
      <c r="E15" s="40">
        <v>14737</v>
      </c>
      <c r="F15" s="40">
        <v>0</v>
      </c>
      <c r="G15" s="40">
        <v>3185</v>
      </c>
      <c r="H15" s="40">
        <v>487</v>
      </c>
      <c r="I15" s="58"/>
      <c r="J15" s="40">
        <v>827</v>
      </c>
      <c r="K15" s="149">
        <f t="shared" si="2"/>
        <v>46420</v>
      </c>
      <c r="L15" s="40">
        <v>41090</v>
      </c>
      <c r="M15" s="40">
        <v>5330</v>
      </c>
    </row>
    <row r="16" spans="1:13" ht="12.75" customHeight="1" hidden="1">
      <c r="A16" s="38" t="s">
        <v>337</v>
      </c>
      <c r="B16" s="109">
        <f t="shared" si="0"/>
        <v>160321</v>
      </c>
      <c r="C16" s="26">
        <f t="shared" si="1"/>
        <v>87435</v>
      </c>
      <c r="D16" s="40">
        <v>60850</v>
      </c>
      <c r="E16" s="105">
        <v>21479</v>
      </c>
      <c r="F16" s="105">
        <v>2</v>
      </c>
      <c r="G16" s="105">
        <v>3361</v>
      </c>
      <c r="H16" s="105">
        <v>593</v>
      </c>
      <c r="J16" s="107">
        <v>1150</v>
      </c>
      <c r="K16" s="96">
        <f t="shared" si="2"/>
        <v>72886</v>
      </c>
      <c r="L16" s="108">
        <v>63490</v>
      </c>
      <c r="M16" s="108">
        <v>9396</v>
      </c>
    </row>
    <row r="17" spans="1:13" ht="12.75" customHeight="1" hidden="1">
      <c r="A17" s="38" t="s">
        <v>338</v>
      </c>
      <c r="B17" s="109">
        <f t="shared" si="0"/>
        <v>133398</v>
      </c>
      <c r="C17" s="26">
        <f t="shared" si="1"/>
        <v>84484</v>
      </c>
      <c r="D17" s="105">
        <v>60469</v>
      </c>
      <c r="E17" s="105">
        <v>18773</v>
      </c>
      <c r="F17" s="105">
        <v>0</v>
      </c>
      <c r="G17" s="105">
        <v>3372</v>
      </c>
      <c r="H17" s="105">
        <v>737</v>
      </c>
      <c r="J17" s="107">
        <v>1133</v>
      </c>
      <c r="K17" s="96">
        <f t="shared" si="2"/>
        <v>48914</v>
      </c>
      <c r="L17" s="108">
        <v>43707</v>
      </c>
      <c r="M17" s="108">
        <v>5207</v>
      </c>
    </row>
    <row r="18" spans="1:13" ht="12.75" customHeight="1" hidden="1">
      <c r="A18" s="38" t="s">
        <v>339</v>
      </c>
      <c r="B18" s="109">
        <f t="shared" si="0"/>
        <v>151873</v>
      </c>
      <c r="C18" s="26">
        <f t="shared" si="1"/>
        <v>94947</v>
      </c>
      <c r="D18" s="105">
        <v>71520</v>
      </c>
      <c r="E18" s="105">
        <v>18013</v>
      </c>
      <c r="F18" s="105">
        <v>2</v>
      </c>
      <c r="G18" s="105">
        <v>3859</v>
      </c>
      <c r="H18" s="105">
        <v>438</v>
      </c>
      <c r="J18" s="107">
        <v>1115</v>
      </c>
      <c r="K18" s="96">
        <f t="shared" si="2"/>
        <v>56926</v>
      </c>
      <c r="L18" s="108">
        <v>54753</v>
      </c>
      <c r="M18" s="108">
        <v>2173</v>
      </c>
    </row>
    <row r="19" spans="1:13" ht="12.75" customHeight="1" hidden="1">
      <c r="A19" s="38" t="s">
        <v>340</v>
      </c>
      <c r="B19" s="109">
        <f t="shared" si="0"/>
        <v>105368</v>
      </c>
      <c r="C19" s="26">
        <f t="shared" si="1"/>
        <v>69763</v>
      </c>
      <c r="D19" s="105">
        <v>53101</v>
      </c>
      <c r="E19" s="105">
        <v>12910</v>
      </c>
      <c r="F19" s="105">
        <v>159</v>
      </c>
      <c r="G19" s="105">
        <v>2372</v>
      </c>
      <c r="H19" s="105">
        <v>329</v>
      </c>
      <c r="J19" s="107">
        <v>892</v>
      </c>
      <c r="K19" s="96">
        <f t="shared" si="2"/>
        <v>35605</v>
      </c>
      <c r="L19" s="108">
        <v>31830</v>
      </c>
      <c r="M19" s="108">
        <v>3775</v>
      </c>
    </row>
    <row r="20" spans="1:13" ht="12.75" customHeight="1" hidden="1">
      <c r="A20" s="38" t="s">
        <v>341</v>
      </c>
      <c r="B20" s="109">
        <f aca="true" t="shared" si="3" ref="B20:B25">C20+K20</f>
        <v>146278</v>
      </c>
      <c r="C20" s="26">
        <f aca="true" t="shared" si="4" ref="C20:C25">D20+E20+F20+G20+H20+J20</f>
        <v>81935</v>
      </c>
      <c r="D20" s="105">
        <v>55580</v>
      </c>
      <c r="E20" s="105">
        <v>20874</v>
      </c>
      <c r="F20" s="105">
        <v>1</v>
      </c>
      <c r="G20" s="105">
        <v>4169</v>
      </c>
      <c r="H20" s="105">
        <v>384</v>
      </c>
      <c r="J20" s="107">
        <v>927</v>
      </c>
      <c r="K20" s="96">
        <f aca="true" t="shared" si="5" ref="K20:K25">L20+M20</f>
        <v>64343</v>
      </c>
      <c r="L20" s="108">
        <v>53947</v>
      </c>
      <c r="M20" s="108">
        <v>10396</v>
      </c>
    </row>
    <row r="21" spans="1:13" ht="12.75" customHeight="1" hidden="1">
      <c r="A21" s="38" t="s">
        <v>344</v>
      </c>
      <c r="B21" s="109">
        <f t="shared" si="3"/>
        <v>116482</v>
      </c>
      <c r="C21" s="26">
        <f t="shared" si="4"/>
        <v>64370</v>
      </c>
      <c r="D21" s="105">
        <v>43906</v>
      </c>
      <c r="E21" s="105">
        <v>16883</v>
      </c>
      <c r="F21" s="105">
        <v>1</v>
      </c>
      <c r="G21" s="105">
        <v>2469</v>
      </c>
      <c r="H21" s="105">
        <v>560</v>
      </c>
      <c r="J21" s="107">
        <v>551</v>
      </c>
      <c r="K21" s="96">
        <f t="shared" si="5"/>
        <v>52112</v>
      </c>
      <c r="L21" s="108">
        <v>48246</v>
      </c>
      <c r="M21" s="108">
        <v>3866</v>
      </c>
    </row>
    <row r="22" spans="1:13" ht="12.75" customHeight="1" hidden="1">
      <c r="A22" s="38" t="s">
        <v>345</v>
      </c>
      <c r="B22" s="109">
        <f t="shared" si="3"/>
        <v>140991</v>
      </c>
      <c r="C22" s="26">
        <f t="shared" si="4"/>
        <v>70932</v>
      </c>
      <c r="D22" s="105">
        <v>50881</v>
      </c>
      <c r="E22" s="105">
        <v>16041</v>
      </c>
      <c r="F22" s="105">
        <v>1</v>
      </c>
      <c r="G22" s="105">
        <v>2854</v>
      </c>
      <c r="H22" s="105">
        <v>401</v>
      </c>
      <c r="J22" s="107">
        <v>754</v>
      </c>
      <c r="K22" s="96">
        <f t="shared" si="5"/>
        <v>70059</v>
      </c>
      <c r="L22" s="108">
        <v>65435</v>
      </c>
      <c r="M22" s="108">
        <v>4624</v>
      </c>
    </row>
    <row r="23" spans="1:13" ht="12.75" customHeight="1" hidden="1">
      <c r="A23" s="38" t="s">
        <v>349</v>
      </c>
      <c r="B23" s="109">
        <f t="shared" si="3"/>
        <v>110697</v>
      </c>
      <c r="C23" s="26">
        <f t="shared" si="4"/>
        <v>61617</v>
      </c>
      <c r="D23" s="105">
        <v>45123</v>
      </c>
      <c r="E23" s="105">
        <v>12914</v>
      </c>
      <c r="F23" s="105">
        <v>0</v>
      </c>
      <c r="G23" s="105">
        <v>2797</v>
      </c>
      <c r="H23" s="105">
        <v>253</v>
      </c>
      <c r="J23" s="107">
        <v>530</v>
      </c>
      <c r="K23" s="96">
        <f t="shared" si="5"/>
        <v>49080</v>
      </c>
      <c r="L23" s="108">
        <v>45384</v>
      </c>
      <c r="M23" s="108">
        <v>3696</v>
      </c>
    </row>
    <row r="24" spans="1:13" ht="12.75" customHeight="1" hidden="1">
      <c r="A24" s="38" t="s">
        <v>351</v>
      </c>
      <c r="B24" s="109">
        <f t="shared" si="3"/>
        <v>170109</v>
      </c>
      <c r="C24" s="26">
        <f t="shared" si="4"/>
        <v>81430</v>
      </c>
      <c r="D24" s="105">
        <v>53859</v>
      </c>
      <c r="E24" s="105">
        <v>22811</v>
      </c>
      <c r="F24" s="105">
        <v>1</v>
      </c>
      <c r="G24" s="105">
        <v>3447</v>
      </c>
      <c r="H24" s="105">
        <v>611</v>
      </c>
      <c r="J24" s="107">
        <v>701</v>
      </c>
      <c r="K24" s="96">
        <f t="shared" si="5"/>
        <v>88679</v>
      </c>
      <c r="L24" s="108">
        <v>82227</v>
      </c>
      <c r="M24" s="108">
        <v>6452</v>
      </c>
    </row>
    <row r="25" spans="1:13" ht="12.75" customHeight="1" hidden="1">
      <c r="A25" s="38" t="s">
        <v>352</v>
      </c>
      <c r="B25" s="109">
        <f t="shared" si="3"/>
        <v>134717</v>
      </c>
      <c r="C25" s="26">
        <f t="shared" si="4"/>
        <v>72712</v>
      </c>
      <c r="D25" s="105">
        <v>49611</v>
      </c>
      <c r="E25" s="105">
        <v>18656</v>
      </c>
      <c r="F25" s="105">
        <v>1</v>
      </c>
      <c r="G25" s="105">
        <v>3406</v>
      </c>
      <c r="H25" s="105">
        <v>401</v>
      </c>
      <c r="J25" s="107">
        <v>637</v>
      </c>
      <c r="K25" s="96">
        <f t="shared" si="5"/>
        <v>62005</v>
      </c>
      <c r="L25" s="108">
        <v>56167</v>
      </c>
      <c r="M25" s="108">
        <v>5838</v>
      </c>
    </row>
    <row r="26" spans="1:13" ht="12.75">
      <c r="A26" s="268" t="s">
        <v>353</v>
      </c>
      <c r="B26" s="269">
        <f aca="true" t="shared" si="6" ref="B26:B31">C26+K26</f>
        <v>178827</v>
      </c>
      <c r="C26" s="270">
        <f aca="true" t="shared" si="7" ref="C26:C31">D26+E26+F26+G26+H26+J26</f>
        <v>92193</v>
      </c>
      <c r="D26" s="271">
        <v>66108</v>
      </c>
      <c r="E26" s="271">
        <v>19579</v>
      </c>
      <c r="F26" s="271">
        <v>4</v>
      </c>
      <c r="G26" s="271">
        <v>5214</v>
      </c>
      <c r="H26" s="271">
        <v>488</v>
      </c>
      <c r="I26" s="272"/>
      <c r="J26" s="269">
        <v>800</v>
      </c>
      <c r="K26" s="271">
        <f aca="true" t="shared" si="8" ref="K26:K31">L26+M26</f>
        <v>86634</v>
      </c>
      <c r="L26" s="273">
        <v>82173</v>
      </c>
      <c r="M26" s="273">
        <v>4461</v>
      </c>
    </row>
    <row r="27" spans="1:13" ht="12.75">
      <c r="A27" s="268" t="s">
        <v>354</v>
      </c>
      <c r="B27" s="269">
        <f t="shared" si="6"/>
        <v>136254</v>
      </c>
      <c r="C27" s="270">
        <f t="shared" si="7"/>
        <v>69866</v>
      </c>
      <c r="D27" s="271">
        <v>51195</v>
      </c>
      <c r="E27" s="271">
        <v>13522</v>
      </c>
      <c r="F27" s="271">
        <v>0</v>
      </c>
      <c r="G27" s="271">
        <v>4000</v>
      </c>
      <c r="H27" s="271">
        <v>496</v>
      </c>
      <c r="I27" s="272"/>
      <c r="J27" s="269">
        <v>653</v>
      </c>
      <c r="K27" s="271">
        <f t="shared" si="8"/>
        <v>66388</v>
      </c>
      <c r="L27" s="273">
        <v>60712</v>
      </c>
      <c r="M27" s="273">
        <v>5676</v>
      </c>
    </row>
    <row r="28" spans="1:13" ht="12.75">
      <c r="A28" s="268" t="s">
        <v>355</v>
      </c>
      <c r="B28" s="269">
        <f t="shared" si="6"/>
        <v>160917</v>
      </c>
      <c r="C28" s="270">
        <f t="shared" si="7"/>
        <v>84813</v>
      </c>
      <c r="D28" s="271">
        <v>54900</v>
      </c>
      <c r="E28" s="271">
        <v>23985</v>
      </c>
      <c r="F28" s="271">
        <v>1</v>
      </c>
      <c r="G28" s="271">
        <v>4260</v>
      </c>
      <c r="H28" s="271">
        <v>856</v>
      </c>
      <c r="I28" s="272"/>
      <c r="J28" s="269">
        <v>811</v>
      </c>
      <c r="K28" s="271">
        <f t="shared" si="8"/>
        <v>76104</v>
      </c>
      <c r="L28" s="273">
        <v>70038</v>
      </c>
      <c r="M28" s="273">
        <v>6066</v>
      </c>
    </row>
    <row r="29" spans="1:13" ht="12.75">
      <c r="A29" s="268" t="s">
        <v>356</v>
      </c>
      <c r="B29" s="269">
        <f t="shared" si="6"/>
        <v>126181</v>
      </c>
      <c r="C29" s="270">
        <f t="shared" si="7"/>
        <v>79846</v>
      </c>
      <c r="D29" s="271">
        <v>54725</v>
      </c>
      <c r="E29" s="271">
        <v>20050</v>
      </c>
      <c r="F29" s="271">
        <v>12</v>
      </c>
      <c r="G29" s="271">
        <v>3737</v>
      </c>
      <c r="H29" s="271">
        <v>545</v>
      </c>
      <c r="I29" s="272"/>
      <c r="J29" s="269">
        <v>777</v>
      </c>
      <c r="K29" s="271">
        <f t="shared" si="8"/>
        <v>46335</v>
      </c>
      <c r="L29" s="273">
        <v>42936</v>
      </c>
      <c r="M29" s="273">
        <v>3399</v>
      </c>
    </row>
    <row r="30" spans="1:13" ht="12.75">
      <c r="A30" s="268" t="s">
        <v>357</v>
      </c>
      <c r="B30" s="269">
        <f t="shared" si="6"/>
        <v>170464</v>
      </c>
      <c r="C30" s="270">
        <f t="shared" si="7"/>
        <v>92415</v>
      </c>
      <c r="D30" s="271">
        <v>66523</v>
      </c>
      <c r="E30" s="271">
        <v>19520</v>
      </c>
      <c r="F30" s="271">
        <v>562</v>
      </c>
      <c r="G30" s="271">
        <v>4231</v>
      </c>
      <c r="H30" s="271">
        <v>618</v>
      </c>
      <c r="I30" s="272"/>
      <c r="J30" s="269">
        <v>961</v>
      </c>
      <c r="K30" s="271">
        <f t="shared" si="8"/>
        <v>78049</v>
      </c>
      <c r="L30" s="273">
        <v>70225</v>
      </c>
      <c r="M30" s="273">
        <v>7824</v>
      </c>
    </row>
    <row r="31" spans="1:13" ht="12.75">
      <c r="A31" s="268" t="s">
        <v>360</v>
      </c>
      <c r="B31" s="269">
        <f t="shared" si="6"/>
        <v>121548</v>
      </c>
      <c r="C31" s="270">
        <f t="shared" si="7"/>
        <v>67606</v>
      </c>
      <c r="D31" s="271">
        <v>48872</v>
      </c>
      <c r="E31" s="271">
        <v>13910</v>
      </c>
      <c r="F31" s="271">
        <v>0</v>
      </c>
      <c r="G31" s="271">
        <v>3687</v>
      </c>
      <c r="H31" s="271">
        <v>480</v>
      </c>
      <c r="I31" s="272"/>
      <c r="J31" s="269">
        <v>657</v>
      </c>
      <c r="K31" s="271">
        <f t="shared" si="8"/>
        <v>53942</v>
      </c>
      <c r="L31" s="273">
        <v>50775</v>
      </c>
      <c r="M31" s="273">
        <v>3167</v>
      </c>
    </row>
    <row r="32" spans="1:13" ht="12.75">
      <c r="A32" s="268" t="s">
        <v>361</v>
      </c>
      <c r="B32" s="269">
        <f aca="true" t="shared" si="9" ref="B32:B37">C32+K32</f>
        <v>167677</v>
      </c>
      <c r="C32" s="270">
        <f aca="true" t="shared" si="10" ref="C32:C37">D32+E32+F32+G32+H32+J32</f>
        <v>88275</v>
      </c>
      <c r="D32" s="271">
        <v>58425</v>
      </c>
      <c r="E32" s="271">
        <v>24449</v>
      </c>
      <c r="F32" s="271">
        <v>0</v>
      </c>
      <c r="G32" s="271">
        <v>3929</v>
      </c>
      <c r="H32" s="271">
        <v>514</v>
      </c>
      <c r="I32" s="272"/>
      <c r="J32" s="269">
        <v>958</v>
      </c>
      <c r="K32" s="271">
        <f aca="true" t="shared" si="11" ref="K32:K37">L32+M32</f>
        <v>79402</v>
      </c>
      <c r="L32" s="273">
        <v>71660</v>
      </c>
      <c r="M32" s="273">
        <v>7742</v>
      </c>
    </row>
    <row r="33" spans="1:13" ht="12.75">
      <c r="A33" s="268" t="s">
        <v>362</v>
      </c>
      <c r="B33" s="269">
        <f t="shared" si="9"/>
        <v>158796</v>
      </c>
      <c r="C33" s="270">
        <f t="shared" si="10"/>
        <v>79567</v>
      </c>
      <c r="D33" s="271">
        <v>53885</v>
      </c>
      <c r="E33" s="271">
        <v>20206</v>
      </c>
      <c r="F33" s="271">
        <v>0</v>
      </c>
      <c r="G33" s="271">
        <v>4233</v>
      </c>
      <c r="H33" s="271">
        <v>424</v>
      </c>
      <c r="I33" s="272"/>
      <c r="J33" s="269">
        <v>819</v>
      </c>
      <c r="K33" s="271">
        <f t="shared" si="11"/>
        <v>79229</v>
      </c>
      <c r="L33" s="273">
        <v>74115</v>
      </c>
      <c r="M33" s="273">
        <v>5114</v>
      </c>
    </row>
    <row r="34" spans="1:13" ht="12.75">
      <c r="A34" s="268" t="s">
        <v>367</v>
      </c>
      <c r="B34" s="269">
        <f t="shared" si="9"/>
        <v>154165</v>
      </c>
      <c r="C34" s="270">
        <f t="shared" si="10"/>
        <v>89991</v>
      </c>
      <c r="D34" s="271">
        <v>63558</v>
      </c>
      <c r="E34" s="271">
        <v>19119</v>
      </c>
      <c r="F34" s="271">
        <v>0</v>
      </c>
      <c r="G34" s="271">
        <v>5186</v>
      </c>
      <c r="H34" s="271">
        <v>634</v>
      </c>
      <c r="I34" s="272"/>
      <c r="J34" s="269">
        <v>1494</v>
      </c>
      <c r="K34" s="271">
        <f t="shared" si="11"/>
        <v>64174</v>
      </c>
      <c r="L34" s="273">
        <v>58304</v>
      </c>
      <c r="M34" s="273">
        <v>5870</v>
      </c>
    </row>
    <row r="35" spans="1:13" ht="12.75">
      <c r="A35" s="268" t="s">
        <v>368</v>
      </c>
      <c r="B35" s="269">
        <f t="shared" si="9"/>
        <v>47892</v>
      </c>
      <c r="C35" s="270">
        <f t="shared" si="10"/>
        <v>24352</v>
      </c>
      <c r="D35" s="271">
        <v>17387</v>
      </c>
      <c r="E35" s="271">
        <v>4995</v>
      </c>
      <c r="F35" s="271">
        <v>4</v>
      </c>
      <c r="G35" s="271">
        <v>1556</v>
      </c>
      <c r="H35" s="271">
        <v>153</v>
      </c>
      <c r="I35" s="272"/>
      <c r="J35" s="269">
        <v>257</v>
      </c>
      <c r="K35" s="271">
        <f t="shared" si="11"/>
        <v>23540</v>
      </c>
      <c r="L35" s="273">
        <v>20720</v>
      </c>
      <c r="M35" s="273">
        <v>2820</v>
      </c>
    </row>
    <row r="36" spans="1:13" ht="12.75">
      <c r="A36" s="268" t="s">
        <v>370</v>
      </c>
      <c r="B36" s="269">
        <f t="shared" si="9"/>
        <v>261371</v>
      </c>
      <c r="C36" s="270">
        <f t="shared" si="10"/>
        <v>122154</v>
      </c>
      <c r="D36" s="271">
        <v>82234</v>
      </c>
      <c r="E36" s="271">
        <v>30083</v>
      </c>
      <c r="F36" s="271">
        <v>11</v>
      </c>
      <c r="G36" s="271">
        <v>7392</v>
      </c>
      <c r="H36" s="271">
        <v>1038</v>
      </c>
      <c r="I36" s="272"/>
      <c r="J36" s="269">
        <v>1396</v>
      </c>
      <c r="K36" s="271">
        <f t="shared" si="11"/>
        <v>139217</v>
      </c>
      <c r="L36" s="273">
        <v>121167</v>
      </c>
      <c r="M36" s="273">
        <v>18050</v>
      </c>
    </row>
    <row r="37" spans="1:13" ht="12.75">
      <c r="A37" s="268" t="s">
        <v>371</v>
      </c>
      <c r="B37" s="269">
        <f t="shared" si="9"/>
        <v>170043</v>
      </c>
      <c r="C37" s="270">
        <f t="shared" si="10"/>
        <v>88153</v>
      </c>
      <c r="D37" s="271">
        <v>60112</v>
      </c>
      <c r="E37" s="271">
        <v>20785</v>
      </c>
      <c r="F37" s="271">
        <v>0</v>
      </c>
      <c r="G37" s="271">
        <v>5158</v>
      </c>
      <c r="H37" s="271">
        <v>1120</v>
      </c>
      <c r="I37" s="272"/>
      <c r="J37" s="269">
        <v>978</v>
      </c>
      <c r="K37" s="271">
        <f t="shared" si="11"/>
        <v>81890</v>
      </c>
      <c r="L37" s="273">
        <v>74379</v>
      </c>
      <c r="M37" s="273">
        <v>7511</v>
      </c>
    </row>
    <row r="38" spans="1:13" ht="12.75">
      <c r="A38" s="268" t="s">
        <v>372</v>
      </c>
      <c r="B38" s="269">
        <f aca="true" t="shared" si="12" ref="B38:B43">C38+K38</f>
        <v>182553</v>
      </c>
      <c r="C38" s="270">
        <f aca="true" t="shared" si="13" ref="C38:C43">D38+E38+F38+G38+H38+J38</f>
        <v>104791</v>
      </c>
      <c r="D38" s="271">
        <v>76925</v>
      </c>
      <c r="E38" s="271">
        <v>20102</v>
      </c>
      <c r="F38" s="271">
        <v>1</v>
      </c>
      <c r="G38" s="271">
        <v>5651</v>
      </c>
      <c r="H38" s="271">
        <v>1025</v>
      </c>
      <c r="I38" s="272"/>
      <c r="J38" s="269">
        <v>1087</v>
      </c>
      <c r="K38" s="271">
        <f aca="true" t="shared" si="14" ref="K38:K43">L38+M38</f>
        <v>77762</v>
      </c>
      <c r="L38" s="273">
        <v>70433</v>
      </c>
      <c r="M38" s="273">
        <v>7329</v>
      </c>
    </row>
    <row r="39" spans="1:13" ht="12.75">
      <c r="A39" s="268" t="s">
        <v>374</v>
      </c>
      <c r="B39" s="269">
        <f t="shared" si="12"/>
        <v>132056</v>
      </c>
      <c r="C39" s="270">
        <f t="shared" si="13"/>
        <v>77614</v>
      </c>
      <c r="D39" s="271">
        <v>57688</v>
      </c>
      <c r="E39" s="271">
        <v>14634</v>
      </c>
      <c r="F39" s="271">
        <v>3</v>
      </c>
      <c r="G39" s="271">
        <v>3746</v>
      </c>
      <c r="H39" s="271">
        <v>671</v>
      </c>
      <c r="I39" s="272"/>
      <c r="J39" s="269">
        <v>872</v>
      </c>
      <c r="K39" s="271">
        <f t="shared" si="14"/>
        <v>54442</v>
      </c>
      <c r="L39" s="273">
        <v>46426</v>
      </c>
      <c r="M39" s="273">
        <v>8016</v>
      </c>
    </row>
    <row r="40" spans="1:13" ht="12.75">
      <c r="A40" s="268" t="s">
        <v>375</v>
      </c>
      <c r="B40" s="269">
        <f t="shared" si="12"/>
        <v>195741</v>
      </c>
      <c r="C40" s="270">
        <f t="shared" si="13"/>
        <v>97292</v>
      </c>
      <c r="D40" s="271">
        <v>65834</v>
      </c>
      <c r="E40" s="271">
        <v>25475</v>
      </c>
      <c r="F40" s="271">
        <v>1</v>
      </c>
      <c r="G40" s="271">
        <v>4302</v>
      </c>
      <c r="H40" s="271">
        <v>605</v>
      </c>
      <c r="I40" s="272"/>
      <c r="J40" s="269">
        <v>1075</v>
      </c>
      <c r="K40" s="271">
        <f t="shared" si="14"/>
        <v>98449</v>
      </c>
      <c r="L40" s="273">
        <v>96130</v>
      </c>
      <c r="M40" s="273">
        <v>2319</v>
      </c>
    </row>
    <row r="41" spans="1:13" ht="12.75">
      <c r="A41" s="268" t="s">
        <v>376</v>
      </c>
      <c r="B41" s="269">
        <f t="shared" si="12"/>
        <v>154437</v>
      </c>
      <c r="C41" s="270">
        <f t="shared" si="13"/>
        <v>86448</v>
      </c>
      <c r="D41" s="271">
        <v>60675</v>
      </c>
      <c r="E41" s="271">
        <v>19973</v>
      </c>
      <c r="F41" s="271">
        <v>0</v>
      </c>
      <c r="G41" s="271">
        <v>4373</v>
      </c>
      <c r="H41" s="271">
        <v>425</v>
      </c>
      <c r="I41" s="272"/>
      <c r="J41" s="269">
        <v>1002</v>
      </c>
      <c r="K41" s="271">
        <f t="shared" si="14"/>
        <v>67989</v>
      </c>
      <c r="L41" s="273">
        <v>61179</v>
      </c>
      <c r="M41" s="273">
        <v>6810</v>
      </c>
    </row>
    <row r="42" spans="1:13" ht="12.75">
      <c r="A42" s="268" t="s">
        <v>377</v>
      </c>
      <c r="B42" s="269">
        <f t="shared" si="12"/>
        <v>189335</v>
      </c>
      <c r="C42" s="270">
        <f t="shared" si="13"/>
        <v>101298</v>
      </c>
      <c r="D42" s="271">
        <v>74518</v>
      </c>
      <c r="E42" s="271">
        <v>19563</v>
      </c>
      <c r="F42" s="271">
        <v>0</v>
      </c>
      <c r="G42" s="271">
        <v>5469</v>
      </c>
      <c r="H42" s="271">
        <v>508</v>
      </c>
      <c r="I42" s="272"/>
      <c r="J42" s="269">
        <v>1240</v>
      </c>
      <c r="K42" s="271">
        <f t="shared" si="14"/>
        <v>88037</v>
      </c>
      <c r="L42" s="273">
        <v>85627</v>
      </c>
      <c r="M42" s="273">
        <v>2410</v>
      </c>
    </row>
    <row r="43" spans="1:13" ht="12.75">
      <c r="A43" s="268" t="s">
        <v>378</v>
      </c>
      <c r="B43" s="269">
        <f t="shared" si="12"/>
        <v>140120</v>
      </c>
      <c r="C43" s="270">
        <f t="shared" si="13"/>
        <v>80664</v>
      </c>
      <c r="D43" s="271">
        <v>60460</v>
      </c>
      <c r="E43" s="271">
        <v>15046</v>
      </c>
      <c r="F43" s="271">
        <v>1</v>
      </c>
      <c r="G43" s="271">
        <v>3770</v>
      </c>
      <c r="H43" s="271">
        <v>437</v>
      </c>
      <c r="I43" s="272"/>
      <c r="J43" s="269">
        <v>950</v>
      </c>
      <c r="K43" s="271">
        <f t="shared" si="14"/>
        <v>59456</v>
      </c>
      <c r="L43" s="273">
        <v>53604</v>
      </c>
      <c r="M43" s="273">
        <v>5852</v>
      </c>
    </row>
    <row r="44" spans="1:13" ht="12.75">
      <c r="A44" s="268" t="s">
        <v>379</v>
      </c>
      <c r="B44" s="269">
        <f aca="true" t="shared" si="15" ref="B44:B49">C44+K44</f>
        <v>214037</v>
      </c>
      <c r="C44" s="270">
        <f aca="true" t="shared" si="16" ref="C44:C49">D44+E44+F44+G44+H44+J44</f>
        <v>98207</v>
      </c>
      <c r="D44" s="271">
        <v>67167</v>
      </c>
      <c r="E44" s="271">
        <v>25126</v>
      </c>
      <c r="F44" s="271">
        <v>0</v>
      </c>
      <c r="G44" s="271">
        <v>4377</v>
      </c>
      <c r="H44" s="271">
        <v>433</v>
      </c>
      <c r="I44" s="272"/>
      <c r="J44" s="269">
        <v>1104</v>
      </c>
      <c r="K44" s="271">
        <f aca="true" t="shared" si="17" ref="K44:K49">L44+M44</f>
        <v>115830</v>
      </c>
      <c r="L44" s="273">
        <v>107358</v>
      </c>
      <c r="M44" s="273">
        <v>8472</v>
      </c>
    </row>
    <row r="45" spans="1:13" ht="12.75">
      <c r="A45" s="268" t="s">
        <v>380</v>
      </c>
      <c r="B45" s="269">
        <f t="shared" si="15"/>
        <v>167179</v>
      </c>
      <c r="C45" s="270">
        <f t="shared" si="16"/>
        <v>85892</v>
      </c>
      <c r="D45" s="271">
        <v>59245</v>
      </c>
      <c r="E45" s="271">
        <v>20230</v>
      </c>
      <c r="F45" s="271">
        <v>1</v>
      </c>
      <c r="G45" s="271">
        <v>4772</v>
      </c>
      <c r="H45" s="271">
        <v>541</v>
      </c>
      <c r="I45" s="272"/>
      <c r="J45" s="269">
        <v>1103</v>
      </c>
      <c r="K45" s="271">
        <f t="shared" si="17"/>
        <v>81287</v>
      </c>
      <c r="L45" s="273">
        <v>77952</v>
      </c>
      <c r="M45" s="273">
        <v>3335</v>
      </c>
    </row>
    <row r="46" spans="1:13" ht="12.75">
      <c r="A46" s="268" t="s">
        <v>381</v>
      </c>
      <c r="B46" s="269">
        <f t="shared" si="15"/>
        <v>181117</v>
      </c>
      <c r="C46" s="270">
        <f t="shared" si="16"/>
        <v>98056</v>
      </c>
      <c r="D46" s="271">
        <v>71659</v>
      </c>
      <c r="E46" s="271">
        <v>19219</v>
      </c>
      <c r="F46" s="271">
        <v>0</v>
      </c>
      <c r="G46" s="271">
        <v>5359</v>
      </c>
      <c r="H46" s="271">
        <v>602</v>
      </c>
      <c r="I46" s="272"/>
      <c r="J46" s="269">
        <v>1217</v>
      </c>
      <c r="K46" s="271">
        <f t="shared" si="17"/>
        <v>83061</v>
      </c>
      <c r="L46" s="273">
        <v>77728</v>
      </c>
      <c r="M46" s="273">
        <v>5333</v>
      </c>
    </row>
    <row r="47" spans="1:13" ht="12.75">
      <c r="A47" s="38" t="s">
        <v>382</v>
      </c>
      <c r="B47" s="109">
        <f t="shared" si="15"/>
        <v>192680</v>
      </c>
      <c r="C47" s="26">
        <f t="shared" si="16"/>
        <v>90093</v>
      </c>
      <c r="D47" s="105">
        <v>4896</v>
      </c>
      <c r="E47" s="105">
        <v>84011</v>
      </c>
      <c r="F47" s="105">
        <v>0</v>
      </c>
      <c r="G47" s="105">
        <v>0</v>
      </c>
      <c r="H47" s="105">
        <v>0</v>
      </c>
      <c r="J47" s="107">
        <v>1186</v>
      </c>
      <c r="K47" s="96">
        <f t="shared" si="17"/>
        <v>102587</v>
      </c>
      <c r="L47" s="108">
        <v>78150</v>
      </c>
      <c r="M47" s="108">
        <v>24437</v>
      </c>
    </row>
    <row r="48" spans="1:13" ht="12.75">
      <c r="A48" s="38" t="s">
        <v>395</v>
      </c>
      <c r="B48" s="109">
        <f t="shared" si="15"/>
        <v>225555</v>
      </c>
      <c r="C48" s="26">
        <f t="shared" si="16"/>
        <v>93628</v>
      </c>
      <c r="D48" s="105">
        <v>70057</v>
      </c>
      <c r="E48" s="105">
        <v>21681</v>
      </c>
      <c r="F48" s="105">
        <v>0</v>
      </c>
      <c r="G48" s="105">
        <v>0</v>
      </c>
      <c r="H48" s="105">
        <v>0</v>
      </c>
      <c r="J48" s="107">
        <v>1890</v>
      </c>
      <c r="K48" s="96">
        <f t="shared" si="17"/>
        <v>131927</v>
      </c>
      <c r="L48" s="108">
        <v>101414</v>
      </c>
      <c r="M48" s="108">
        <v>30513</v>
      </c>
    </row>
    <row r="49" spans="1:13" ht="12.75">
      <c r="A49" s="38" t="s">
        <v>400</v>
      </c>
      <c r="B49" s="109">
        <f t="shared" si="15"/>
        <v>237825</v>
      </c>
      <c r="C49" s="26">
        <f t="shared" si="16"/>
        <v>111805</v>
      </c>
      <c r="D49" s="105">
        <v>87108</v>
      </c>
      <c r="E49" s="105">
        <v>23705</v>
      </c>
      <c r="F49" s="105">
        <v>0</v>
      </c>
      <c r="G49" s="105">
        <v>0</v>
      </c>
      <c r="H49" s="105">
        <v>0</v>
      </c>
      <c r="J49" s="107">
        <v>992</v>
      </c>
      <c r="K49" s="96">
        <f t="shared" si="17"/>
        <v>126020</v>
      </c>
      <c r="L49" s="108">
        <v>97318</v>
      </c>
      <c r="M49" s="108">
        <v>28702</v>
      </c>
    </row>
    <row r="50" spans="1:13" ht="12.75">
      <c r="A50" s="38" t="s">
        <v>425</v>
      </c>
      <c r="B50" s="109">
        <f aca="true" t="shared" si="18" ref="B50:B55">C50+K50</f>
        <v>217252</v>
      </c>
      <c r="C50" s="26">
        <f aca="true" t="shared" si="19" ref="C50:C55">D50+E50+F50+G50+H50+J50</f>
        <v>101262</v>
      </c>
      <c r="D50" s="105">
        <v>67661</v>
      </c>
      <c r="E50" s="105">
        <v>20568</v>
      </c>
      <c r="F50" s="105">
        <v>0</v>
      </c>
      <c r="G50" s="105">
        <v>0</v>
      </c>
      <c r="H50" s="105">
        <v>0</v>
      </c>
      <c r="J50" s="107">
        <v>13033</v>
      </c>
      <c r="K50" s="96">
        <f aca="true" t="shared" si="20" ref="K50:K55">L50+M50</f>
        <v>115990</v>
      </c>
      <c r="L50" s="108">
        <v>92704</v>
      </c>
      <c r="M50" s="108">
        <v>23286</v>
      </c>
    </row>
    <row r="51" spans="1:13" ht="12.75">
      <c r="A51" s="38" t="s">
        <v>427</v>
      </c>
      <c r="B51" s="109">
        <f t="shared" si="18"/>
        <v>224552</v>
      </c>
      <c r="C51" s="26">
        <f t="shared" si="19"/>
        <v>96227</v>
      </c>
      <c r="D51" s="105">
        <v>64455</v>
      </c>
      <c r="E51" s="105">
        <v>18899</v>
      </c>
      <c r="F51" s="105">
        <v>0</v>
      </c>
      <c r="G51" s="105">
        <v>0</v>
      </c>
      <c r="H51" s="105">
        <v>0</v>
      </c>
      <c r="J51" s="107">
        <v>12873</v>
      </c>
      <c r="K51" s="96">
        <f t="shared" si="20"/>
        <v>128325</v>
      </c>
      <c r="L51" s="108">
        <v>100540</v>
      </c>
      <c r="M51" s="108">
        <v>27785</v>
      </c>
    </row>
    <row r="52" spans="1:13" ht="12.75">
      <c r="A52" s="38" t="s">
        <v>431</v>
      </c>
      <c r="B52" s="109">
        <f t="shared" si="18"/>
        <v>221585</v>
      </c>
      <c r="C52" s="26">
        <f t="shared" si="19"/>
        <v>94518</v>
      </c>
      <c r="D52" s="105">
        <v>63905</v>
      </c>
      <c r="E52" s="105">
        <v>14819</v>
      </c>
      <c r="F52" s="105">
        <v>0</v>
      </c>
      <c r="G52" s="105">
        <v>0</v>
      </c>
      <c r="H52" s="105">
        <v>0</v>
      </c>
      <c r="J52" s="107">
        <v>15794</v>
      </c>
      <c r="K52" s="96">
        <f t="shared" si="20"/>
        <v>127067</v>
      </c>
      <c r="L52" s="108">
        <v>97968</v>
      </c>
      <c r="M52" s="108">
        <v>29099</v>
      </c>
    </row>
    <row r="53" spans="1:13" ht="12.75">
      <c r="A53" s="38" t="s">
        <v>446</v>
      </c>
      <c r="B53" s="109">
        <f t="shared" si="18"/>
        <v>210246</v>
      </c>
      <c r="C53" s="26">
        <f t="shared" si="19"/>
        <v>101438</v>
      </c>
      <c r="D53" s="105">
        <v>71188</v>
      </c>
      <c r="E53" s="105">
        <v>15436</v>
      </c>
      <c r="F53" s="105">
        <v>0</v>
      </c>
      <c r="G53" s="105">
        <v>0</v>
      </c>
      <c r="H53" s="105">
        <v>0</v>
      </c>
      <c r="J53" s="107">
        <v>14814</v>
      </c>
      <c r="K53" s="96">
        <f t="shared" si="20"/>
        <v>108808</v>
      </c>
      <c r="L53" s="108">
        <v>80812</v>
      </c>
      <c r="M53" s="108">
        <v>27996</v>
      </c>
    </row>
    <row r="54" spans="1:13" ht="12.75">
      <c r="A54" s="38" t="s">
        <v>449</v>
      </c>
      <c r="B54" s="109">
        <f t="shared" si="18"/>
        <v>237053</v>
      </c>
      <c r="C54" s="26">
        <f t="shared" si="19"/>
        <v>95094</v>
      </c>
      <c r="D54" s="105">
        <v>61073</v>
      </c>
      <c r="E54" s="105">
        <v>12612</v>
      </c>
      <c r="F54" s="105">
        <v>0</v>
      </c>
      <c r="G54" s="105">
        <v>0</v>
      </c>
      <c r="H54" s="105">
        <v>0</v>
      </c>
      <c r="J54" s="107">
        <v>21409</v>
      </c>
      <c r="K54" s="96">
        <f t="shared" si="20"/>
        <v>141959</v>
      </c>
      <c r="L54" s="108">
        <v>116026</v>
      </c>
      <c r="M54" s="108">
        <v>25933</v>
      </c>
    </row>
    <row r="55" spans="1:13" ht="12.75">
      <c r="A55" s="38" t="s">
        <v>451</v>
      </c>
      <c r="B55" s="109">
        <f t="shared" si="18"/>
        <v>208814</v>
      </c>
      <c r="C55" s="26">
        <f t="shared" si="19"/>
        <v>82744</v>
      </c>
      <c r="D55" s="105">
        <v>54393</v>
      </c>
      <c r="E55" s="105">
        <v>11279</v>
      </c>
      <c r="F55" s="105">
        <v>0</v>
      </c>
      <c r="G55" s="105">
        <v>0</v>
      </c>
      <c r="H55" s="105">
        <v>0</v>
      </c>
      <c r="J55" s="107">
        <v>17072</v>
      </c>
      <c r="K55" s="96">
        <f t="shared" si="20"/>
        <v>126070</v>
      </c>
      <c r="L55" s="108">
        <v>101327</v>
      </c>
      <c r="M55" s="108">
        <v>24743</v>
      </c>
    </row>
    <row r="56" spans="1:13" ht="12.75">
      <c r="A56" s="38" t="s">
        <v>457</v>
      </c>
      <c r="B56" s="109">
        <f>C56+K56</f>
        <v>261150</v>
      </c>
      <c r="C56" s="26">
        <f>D56+E56+F56+G56+H56+J56</f>
        <v>96350</v>
      </c>
      <c r="D56" s="105">
        <v>61887</v>
      </c>
      <c r="E56" s="105">
        <v>10560</v>
      </c>
      <c r="F56" s="105">
        <v>0</v>
      </c>
      <c r="G56" s="105">
        <v>0</v>
      </c>
      <c r="H56" s="105">
        <v>0</v>
      </c>
      <c r="J56" s="107">
        <v>23903</v>
      </c>
      <c r="K56" s="96">
        <f>L56+M56</f>
        <v>164800</v>
      </c>
      <c r="L56" s="108">
        <v>137950</v>
      </c>
      <c r="M56" s="108">
        <v>26850</v>
      </c>
    </row>
    <row r="57" spans="1:13" ht="12.75">
      <c r="A57" s="38" t="s">
        <v>460</v>
      </c>
      <c r="B57" s="109">
        <f>C57+K57</f>
        <v>234126</v>
      </c>
      <c r="C57" s="26">
        <f>D57+E57+F57+G57+H57+J57</f>
        <v>106644</v>
      </c>
      <c r="D57" s="105">
        <v>69766</v>
      </c>
      <c r="E57" s="105">
        <v>11853</v>
      </c>
      <c r="F57" s="105">
        <v>0</v>
      </c>
      <c r="G57" s="105">
        <v>0</v>
      </c>
      <c r="H57" s="105">
        <v>0</v>
      </c>
      <c r="J57" s="107">
        <v>25025</v>
      </c>
      <c r="K57" s="96">
        <f>L57+M57</f>
        <v>127482</v>
      </c>
      <c r="L57" s="108">
        <v>99463</v>
      </c>
      <c r="M57" s="108">
        <v>28019</v>
      </c>
    </row>
    <row r="59" spans="3:4" ht="12.75">
      <c r="C59" s="26">
        <f>SUM(C54:C57)</f>
        <v>380832</v>
      </c>
      <c r="D59" t="s">
        <v>347</v>
      </c>
    </row>
    <row r="60" spans="3:4" ht="12.75">
      <c r="C60" s="167">
        <f>C59/'Tabell 7 ny'!D77</f>
        <v>0.07155894830713797</v>
      </c>
      <c r="D60" t="s">
        <v>348</v>
      </c>
    </row>
  </sheetData>
  <sheetProtection/>
  <mergeCells count="3">
    <mergeCell ref="K4:M4"/>
    <mergeCell ref="K5:M5"/>
    <mergeCell ref="C3:J3"/>
  </mergeCells>
  <printOptions/>
  <pageMargins left="0.75" right="0.75" top="1" bottom="1" header="0.5" footer="0.5"/>
  <pageSetup horizontalDpi="600" verticalDpi="600" orientation="landscape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P25" sqref="P25"/>
    </sheetView>
  </sheetViews>
  <sheetFormatPr defaultColWidth="11.421875" defaultRowHeight="12.75"/>
  <cols>
    <col min="1" max="1" width="13.28125" style="0" customWidth="1"/>
    <col min="2" max="3" width="11.421875" style="111" customWidth="1"/>
  </cols>
  <sheetData>
    <row r="1" ht="12.75">
      <c r="A1" s="27" t="s">
        <v>459</v>
      </c>
    </row>
    <row r="2" ht="12.75">
      <c r="A2" s="27"/>
    </row>
    <row r="3" ht="12.75">
      <c r="A3" s="27"/>
    </row>
    <row r="4" ht="12.75">
      <c r="A4" s="27"/>
    </row>
    <row r="5" ht="12.75">
      <c r="A5" s="27"/>
    </row>
    <row r="6" ht="12.75">
      <c r="A6" s="27"/>
    </row>
    <row r="7" ht="12.75">
      <c r="A7" s="27"/>
    </row>
    <row r="8" ht="12.75">
      <c r="A8" s="27"/>
    </row>
    <row r="9" ht="12.75">
      <c r="A9" s="27"/>
    </row>
    <row r="10" ht="12.75">
      <c r="A10" s="27"/>
    </row>
    <row r="11" ht="12.75">
      <c r="A11" s="27"/>
    </row>
    <row r="12" ht="12.75">
      <c r="A12" s="27"/>
    </row>
    <row r="13" ht="12.75">
      <c r="A13" s="27"/>
    </row>
    <row r="14" ht="12.75">
      <c r="A14" s="27"/>
    </row>
    <row r="15" ht="12.75">
      <c r="A15" s="27"/>
    </row>
    <row r="16" ht="12.75">
      <c r="A16" s="27"/>
    </row>
    <row r="17" ht="12.75">
      <c r="A17" s="27"/>
    </row>
    <row r="18" ht="12.75">
      <c r="A18" s="27"/>
    </row>
    <row r="19" ht="12.75">
      <c r="A19" s="33"/>
    </row>
    <row r="20" ht="12.75">
      <c r="A20" s="33"/>
    </row>
    <row r="21" spans="1:16" ht="12.75">
      <c r="A21" s="33"/>
      <c r="B21" s="141">
        <v>2004</v>
      </c>
      <c r="C21" s="141">
        <v>2005</v>
      </c>
      <c r="D21" s="141">
        <v>2006</v>
      </c>
      <c r="E21" s="141">
        <v>2007</v>
      </c>
      <c r="F21" s="141">
        <v>2008</v>
      </c>
      <c r="G21" s="141">
        <v>2009</v>
      </c>
      <c r="H21" s="141">
        <v>2010</v>
      </c>
      <c r="I21" s="141">
        <v>2011</v>
      </c>
      <c r="J21" s="141">
        <v>2012</v>
      </c>
      <c r="K21" s="141">
        <v>2013</v>
      </c>
      <c r="L21" s="141">
        <v>2014</v>
      </c>
      <c r="M21" s="141">
        <v>2015</v>
      </c>
      <c r="N21" s="141">
        <v>2016</v>
      </c>
      <c r="O21" s="141">
        <v>2017</v>
      </c>
      <c r="P21" s="141">
        <v>2018</v>
      </c>
    </row>
    <row r="22" spans="1:16" ht="12.75">
      <c r="A22" s="38" t="s">
        <v>295</v>
      </c>
      <c r="B22" s="58" t="e">
        <f>'Tabell 9'!#REF!</f>
        <v>#REF!</v>
      </c>
      <c r="C22" s="58" t="e">
        <f>'Tabell 9'!#REF!</f>
        <v>#REF!</v>
      </c>
      <c r="D22" s="58" t="e">
        <f>'Tabell 9'!#REF!</f>
        <v>#REF!</v>
      </c>
      <c r="E22" s="58" t="e">
        <f>'Tabell 9'!#REF!</f>
        <v>#REF!</v>
      </c>
      <c r="F22" s="58">
        <f>'Tabell 9'!C14</f>
        <v>90723</v>
      </c>
      <c r="G22" s="26">
        <f>'Tabell 9'!C18</f>
        <v>94947</v>
      </c>
      <c r="H22" s="26">
        <f>'Tabell 9'!C22</f>
        <v>70932</v>
      </c>
      <c r="I22" s="26">
        <f>'Tabell 9'!C26</f>
        <v>92193</v>
      </c>
      <c r="J22" s="26">
        <f>'Tabell 9'!C30</f>
        <v>92415</v>
      </c>
      <c r="K22" s="26">
        <f>'Tabell 9'!C34</f>
        <v>89991</v>
      </c>
      <c r="L22" s="26">
        <f>'Tabell 9'!C38</f>
        <v>104791</v>
      </c>
      <c r="M22" s="26">
        <f>'Tabell 9'!C42</f>
        <v>101298</v>
      </c>
      <c r="N22" s="26">
        <f>'Tabell 9'!C46</f>
        <v>98056</v>
      </c>
      <c r="O22" s="26">
        <f>'Tabell 9'!C50</f>
        <v>101262</v>
      </c>
      <c r="P22" s="26">
        <f>'Tabell 9'!C54</f>
        <v>95094</v>
      </c>
    </row>
    <row r="23" spans="1:16" ht="12.75">
      <c r="A23" s="38" t="s">
        <v>296</v>
      </c>
      <c r="B23" s="58" t="e">
        <f>'Tabell 9'!#REF!</f>
        <v>#REF!</v>
      </c>
      <c r="C23" s="58" t="e">
        <f>'Tabell 9'!#REF!</f>
        <v>#REF!</v>
      </c>
      <c r="D23" s="58" t="e">
        <f>'Tabell 9'!#REF!</f>
        <v>#REF!</v>
      </c>
      <c r="E23" s="58">
        <f>'Tabell 9'!C11</f>
        <v>68421</v>
      </c>
      <c r="F23" s="58">
        <f>'Tabell 9'!C15</f>
        <v>73557</v>
      </c>
      <c r="G23" s="26">
        <f>'Tabell 9'!C19</f>
        <v>69763</v>
      </c>
      <c r="H23" s="26">
        <f>'Tabell 9'!C23</f>
        <v>61617</v>
      </c>
      <c r="I23" s="26">
        <f>'Tabell 9'!C27</f>
        <v>69866</v>
      </c>
      <c r="J23" s="26">
        <f>'Tabell 9'!C31</f>
        <v>67606</v>
      </c>
      <c r="K23" s="26">
        <f>'Tabell 9'!C35</f>
        <v>24352</v>
      </c>
      <c r="L23" s="26">
        <f>'Tabell 9'!C39</f>
        <v>77614</v>
      </c>
      <c r="M23" s="26">
        <f>'Tabell 9'!C43</f>
        <v>80664</v>
      </c>
      <c r="N23" s="26">
        <f>'Tabell 9'!C47</f>
        <v>90093</v>
      </c>
      <c r="O23" s="26">
        <f>'Tabell 9'!C51</f>
        <v>96227</v>
      </c>
      <c r="P23" s="26">
        <f>'Tabell 9'!C55</f>
        <v>82744</v>
      </c>
    </row>
    <row r="24" spans="1:16" ht="12.75">
      <c r="A24" s="38" t="s">
        <v>297</v>
      </c>
      <c r="B24" s="58" t="e">
        <f>'Tabell 9'!#REF!</f>
        <v>#REF!</v>
      </c>
      <c r="C24" s="58" t="e">
        <f>'Tabell 9'!#REF!</f>
        <v>#REF!</v>
      </c>
      <c r="D24" s="58" t="e">
        <f>'Tabell 9'!#REF!</f>
        <v>#REF!</v>
      </c>
      <c r="E24" s="58">
        <f>'Tabell 9'!C12</f>
        <v>85901</v>
      </c>
      <c r="F24" s="58">
        <f>'Tabell 9'!C16</f>
        <v>87435</v>
      </c>
      <c r="G24" s="26">
        <f>'Tabell 9'!C20</f>
        <v>81935</v>
      </c>
      <c r="H24" s="26">
        <f>'Tabell 9'!C24</f>
        <v>81430</v>
      </c>
      <c r="I24" s="26">
        <f>'Tabell 9'!C28</f>
        <v>84813</v>
      </c>
      <c r="J24" s="26">
        <f>'Tabell 9'!C32</f>
        <v>88275</v>
      </c>
      <c r="K24" s="26">
        <f>'Tabell 9'!C36</f>
        <v>122154</v>
      </c>
      <c r="L24" s="26">
        <f>'Tabell 9'!C40</f>
        <v>97292</v>
      </c>
      <c r="M24" s="26">
        <f>'Tabell 9'!C44</f>
        <v>98207</v>
      </c>
      <c r="N24" s="26">
        <f>'Tabell 9'!C48</f>
        <v>93628</v>
      </c>
      <c r="O24" s="26">
        <f>'Tabell 9'!C52</f>
        <v>94518</v>
      </c>
      <c r="P24" s="26">
        <f>'Tabell 9'!C56</f>
        <v>96350</v>
      </c>
    </row>
    <row r="25" spans="1:16" s="16" customFormat="1" ht="12.75">
      <c r="A25" s="38" t="s">
        <v>298</v>
      </c>
      <c r="B25" s="58" t="e">
        <f>'Tabell 9'!#REF!</f>
        <v>#REF!</v>
      </c>
      <c r="C25" s="58" t="e">
        <f>'Tabell 9'!#REF!</f>
        <v>#REF!</v>
      </c>
      <c r="D25" s="58" t="e">
        <f>'Tabell 9'!#REF!</f>
        <v>#REF!</v>
      </c>
      <c r="E25" s="58">
        <f>'Tabell 9'!C13</f>
        <v>80858</v>
      </c>
      <c r="F25" s="58">
        <f>'Tabell 9'!C17</f>
        <v>84484</v>
      </c>
      <c r="G25" s="30">
        <f>'Tabell 9'!C21</f>
        <v>64370</v>
      </c>
      <c r="H25" s="26">
        <f>'Tabell 9'!C25</f>
        <v>72712</v>
      </c>
      <c r="I25" s="26">
        <f>'Tabell 9'!C29</f>
        <v>79846</v>
      </c>
      <c r="J25" s="26">
        <f>'Tabell 9'!C33</f>
        <v>79567</v>
      </c>
      <c r="K25" s="26">
        <f>'Tabell 9'!C37</f>
        <v>88153</v>
      </c>
      <c r="L25" s="26">
        <f>'Tabell 9'!C41</f>
        <v>86448</v>
      </c>
      <c r="M25" s="26">
        <f>'Tabell 9'!C45</f>
        <v>85892</v>
      </c>
      <c r="N25" s="26">
        <f>'Tabell 9'!C49</f>
        <v>111805</v>
      </c>
      <c r="O25" s="26">
        <f>'Tabell 9'!C53</f>
        <v>101438</v>
      </c>
      <c r="P25" s="26">
        <f>'Tabell 9'!C57</f>
        <v>106644</v>
      </c>
    </row>
    <row r="30" ht="12.75">
      <c r="F30" s="2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78"/>
  <sheetViews>
    <sheetView zoomScalePageLayoutView="0" workbookViewId="0" topLeftCell="A1">
      <pane ySplit="7" topLeftCell="A29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5.421875" style="0" customWidth="1"/>
    <col min="2" max="2" width="14.7109375" style="0" customWidth="1"/>
    <col min="3" max="3" width="15.28125" style="0" customWidth="1"/>
    <col min="4" max="4" width="14.00390625" style="0" customWidth="1"/>
    <col min="5" max="7" width="13.28125" style="0" customWidth="1"/>
    <col min="8" max="8" width="8.140625" style="0" customWidth="1"/>
    <col min="9" max="10" width="9.7109375" style="0" customWidth="1"/>
    <col min="11" max="11" width="9.8515625" style="0" customWidth="1"/>
    <col min="12" max="12" width="9.7109375" style="0" customWidth="1"/>
    <col min="13" max="13" width="9.00390625" style="0" customWidth="1"/>
    <col min="14" max="14" width="8.7109375" style="0" customWidth="1"/>
    <col min="15" max="15" width="8.8515625" style="0" customWidth="1"/>
    <col min="16" max="16" width="13.00390625" style="0" customWidth="1"/>
    <col min="17" max="17" width="13.140625" style="0" customWidth="1"/>
    <col min="18" max="18" width="13.57421875" style="0" customWidth="1"/>
  </cols>
  <sheetData>
    <row r="1" spans="1:7" ht="12.75">
      <c r="A1" s="27" t="s">
        <v>268</v>
      </c>
      <c r="B1" s="27"/>
      <c r="C1" s="27"/>
      <c r="D1" s="27"/>
      <c r="E1" s="27"/>
      <c r="F1" s="27"/>
      <c r="G1" s="27"/>
    </row>
    <row r="2" spans="1:7" ht="12.75">
      <c r="A2" s="239" t="s">
        <v>430</v>
      </c>
      <c r="B2" s="239"/>
      <c r="C2" s="239"/>
      <c r="D2" s="239"/>
      <c r="E2" s="239"/>
      <c r="F2" s="27"/>
      <c r="G2" s="27"/>
    </row>
    <row r="3" spans="1:7" ht="12.75">
      <c r="A3" s="27"/>
      <c r="B3" s="115" t="s">
        <v>171</v>
      </c>
      <c r="C3" s="27"/>
      <c r="D3" s="27"/>
      <c r="E3" s="27"/>
      <c r="F3" s="27"/>
      <c r="G3" s="27"/>
    </row>
    <row r="4" spans="1:16" ht="12.75">
      <c r="A4" s="33"/>
      <c r="B4" s="115" t="s">
        <v>172</v>
      </c>
      <c r="D4" s="115"/>
      <c r="E4" s="115" t="s">
        <v>130</v>
      </c>
      <c r="F4" s="115" t="s">
        <v>130</v>
      </c>
      <c r="G4" s="33"/>
      <c r="H4" s="13"/>
      <c r="I4" s="13"/>
      <c r="J4" s="13"/>
      <c r="K4" s="13"/>
      <c r="P4" s="13"/>
    </row>
    <row r="5" spans="1:18" ht="12.75">
      <c r="A5" s="33"/>
      <c r="B5" s="13" t="s">
        <v>176</v>
      </c>
      <c r="C5" s="115" t="s">
        <v>18</v>
      </c>
      <c r="D5" s="115" t="s">
        <v>130</v>
      </c>
      <c r="E5" s="115" t="s">
        <v>178</v>
      </c>
      <c r="F5" s="115" t="s">
        <v>178</v>
      </c>
      <c r="G5" s="33"/>
      <c r="H5" s="274" t="s">
        <v>217</v>
      </c>
      <c r="I5" s="274"/>
      <c r="J5" s="274"/>
      <c r="K5" s="274"/>
      <c r="L5" s="274"/>
      <c r="M5" s="274"/>
      <c r="N5" s="274"/>
      <c r="O5" s="274"/>
      <c r="P5" s="274" t="s">
        <v>169</v>
      </c>
      <c r="Q5" s="274"/>
      <c r="R5" s="274"/>
    </row>
    <row r="6" spans="1:18" ht="12.75">
      <c r="A6" s="33"/>
      <c r="B6" s="13" t="s">
        <v>60</v>
      </c>
      <c r="C6" s="115" t="s">
        <v>166</v>
      </c>
      <c r="D6" s="115" t="s">
        <v>178</v>
      </c>
      <c r="E6" s="115" t="s">
        <v>180</v>
      </c>
      <c r="F6" s="115" t="s">
        <v>181</v>
      </c>
      <c r="G6" s="33"/>
      <c r="H6" s="13" t="s">
        <v>162</v>
      </c>
      <c r="I6" s="13" t="s">
        <v>416</v>
      </c>
      <c r="J6" s="13" t="s">
        <v>167</v>
      </c>
      <c r="K6" s="13" t="s">
        <v>51</v>
      </c>
      <c r="L6" s="13" t="s">
        <v>50</v>
      </c>
      <c r="M6" s="13" t="s">
        <v>163</v>
      </c>
      <c r="N6" s="13"/>
      <c r="O6" s="13" t="s">
        <v>165</v>
      </c>
      <c r="P6" s="13"/>
      <c r="Q6" s="13" t="s">
        <v>416</v>
      </c>
      <c r="R6" s="13" t="s">
        <v>167</v>
      </c>
    </row>
    <row r="7" spans="1:18" ht="14.25">
      <c r="A7" s="100"/>
      <c r="B7" s="116" t="s">
        <v>177</v>
      </c>
      <c r="C7" s="116" t="s">
        <v>174</v>
      </c>
      <c r="D7" s="116" t="s">
        <v>179</v>
      </c>
      <c r="E7" s="116" t="s">
        <v>164</v>
      </c>
      <c r="F7" s="116" t="s">
        <v>75</v>
      </c>
      <c r="G7" s="100"/>
      <c r="H7" s="12" t="s">
        <v>113</v>
      </c>
      <c r="I7" s="12" t="s">
        <v>409</v>
      </c>
      <c r="J7" s="12" t="s">
        <v>168</v>
      </c>
      <c r="K7" s="12" t="s">
        <v>52</v>
      </c>
      <c r="L7" s="12" t="s">
        <v>52</v>
      </c>
      <c r="M7" s="12" t="s">
        <v>164</v>
      </c>
      <c r="N7" s="12" t="s">
        <v>90</v>
      </c>
      <c r="O7" s="12" t="s">
        <v>75</v>
      </c>
      <c r="P7" s="12" t="s">
        <v>170</v>
      </c>
      <c r="Q7" s="78" t="s">
        <v>409</v>
      </c>
      <c r="R7" s="78" t="s">
        <v>26</v>
      </c>
    </row>
    <row r="8" spans="1:18" ht="12.75">
      <c r="A8" s="38" t="s">
        <v>147</v>
      </c>
      <c r="B8" s="32">
        <f aca="true" t="shared" si="0" ref="B8:B15">J8</f>
        <v>12</v>
      </c>
      <c r="C8" s="32">
        <f aca="true" t="shared" si="1" ref="C8:C15">R8</f>
        <v>3588</v>
      </c>
      <c r="D8" s="117">
        <f aca="true" t="shared" si="2" ref="D8:D15">K8*100/J8</f>
        <v>16.666666666666668</v>
      </c>
      <c r="E8" s="117">
        <f>M8*100/J8</f>
        <v>33.333333333333336</v>
      </c>
      <c r="F8" s="117">
        <f>O8*100/J8</f>
        <v>16.666666666666668</v>
      </c>
      <c r="G8" s="38"/>
      <c r="H8" s="107">
        <v>15</v>
      </c>
      <c r="I8" s="107">
        <v>3</v>
      </c>
      <c r="J8" s="109">
        <f aca="true" t="shared" si="3" ref="J8:J15">H8-I8</f>
        <v>12</v>
      </c>
      <c r="K8" s="107">
        <v>2</v>
      </c>
      <c r="L8" s="109">
        <f>J8-K8</f>
        <v>10</v>
      </c>
      <c r="M8" s="107">
        <v>4</v>
      </c>
      <c r="N8" s="107">
        <v>6</v>
      </c>
      <c r="O8" s="109">
        <f aca="true" t="shared" si="4" ref="O8:O15">J8-M8-N8</f>
        <v>2</v>
      </c>
      <c r="P8" s="107">
        <v>4680</v>
      </c>
      <c r="Q8" s="40">
        <v>1092</v>
      </c>
      <c r="R8" s="26">
        <f>P8-Q8</f>
        <v>3588</v>
      </c>
    </row>
    <row r="9" spans="1:18" ht="12.75">
      <c r="A9" s="38" t="s">
        <v>148</v>
      </c>
      <c r="B9" s="32">
        <f t="shared" si="0"/>
        <v>27</v>
      </c>
      <c r="C9" s="32">
        <f t="shared" si="1"/>
        <v>4521</v>
      </c>
      <c r="D9" s="117">
        <f t="shared" si="2"/>
        <v>22.22222222222222</v>
      </c>
      <c r="E9" s="117">
        <f aca="true" t="shared" si="5" ref="E9:E15">M9*100/J9</f>
        <v>18.51851851851852</v>
      </c>
      <c r="F9" s="117">
        <f aca="true" t="shared" si="6" ref="F9:F15">O9*100/J9</f>
        <v>18.51851851851852</v>
      </c>
      <c r="G9" s="38"/>
      <c r="H9" s="107">
        <v>30</v>
      </c>
      <c r="I9" s="107">
        <v>3</v>
      </c>
      <c r="J9" s="109">
        <f t="shared" si="3"/>
        <v>27</v>
      </c>
      <c r="K9" s="107">
        <v>6</v>
      </c>
      <c r="L9" s="109">
        <f aca="true" t="shared" si="7" ref="L9:L15">J9-K9</f>
        <v>21</v>
      </c>
      <c r="M9" s="107">
        <v>5</v>
      </c>
      <c r="N9" s="107">
        <v>17</v>
      </c>
      <c r="O9" s="109">
        <f t="shared" si="4"/>
        <v>5</v>
      </c>
      <c r="P9" s="107">
        <v>7157</v>
      </c>
      <c r="Q9" s="40">
        <v>2636</v>
      </c>
      <c r="R9" s="26">
        <f aca="true" t="shared" si="8" ref="R9:R15">P9-Q9</f>
        <v>4521</v>
      </c>
    </row>
    <row r="10" spans="1:18" ht="12.75">
      <c r="A10" s="38" t="s">
        <v>149</v>
      </c>
      <c r="B10" s="32">
        <f t="shared" si="0"/>
        <v>29</v>
      </c>
      <c r="C10" s="32">
        <f t="shared" si="1"/>
        <v>7228</v>
      </c>
      <c r="D10" s="117">
        <f t="shared" si="2"/>
        <v>31.03448275862069</v>
      </c>
      <c r="E10" s="117">
        <f t="shared" si="5"/>
        <v>24.137931034482758</v>
      </c>
      <c r="F10" s="117">
        <f t="shared" si="6"/>
        <v>17.24137931034483</v>
      </c>
      <c r="G10" s="38"/>
      <c r="H10" s="107">
        <v>33</v>
      </c>
      <c r="I10" s="107">
        <v>4</v>
      </c>
      <c r="J10" s="109">
        <f t="shared" si="3"/>
        <v>29</v>
      </c>
      <c r="K10" s="107">
        <v>9</v>
      </c>
      <c r="L10" s="109">
        <f t="shared" si="7"/>
        <v>20</v>
      </c>
      <c r="M10" s="107">
        <v>7</v>
      </c>
      <c r="N10" s="107">
        <v>17</v>
      </c>
      <c r="O10" s="109">
        <f t="shared" si="4"/>
        <v>5</v>
      </c>
      <c r="P10" s="107">
        <v>8713</v>
      </c>
      <c r="Q10" s="40">
        <v>1485</v>
      </c>
      <c r="R10" s="26">
        <f t="shared" si="8"/>
        <v>7228</v>
      </c>
    </row>
    <row r="11" spans="1:18" ht="12.75">
      <c r="A11" s="38" t="s">
        <v>150</v>
      </c>
      <c r="B11" s="32">
        <f t="shared" si="0"/>
        <v>18</v>
      </c>
      <c r="C11" s="32">
        <f t="shared" si="1"/>
        <v>2848</v>
      </c>
      <c r="D11" s="117">
        <f t="shared" si="2"/>
        <v>16.666666666666668</v>
      </c>
      <c r="E11" s="117">
        <f t="shared" si="5"/>
        <v>27.77777777777778</v>
      </c>
      <c r="F11" s="117">
        <f t="shared" si="6"/>
        <v>11.11111111111111</v>
      </c>
      <c r="G11" s="38"/>
      <c r="H11" s="107">
        <v>22</v>
      </c>
      <c r="I11" s="107">
        <v>4</v>
      </c>
      <c r="J11" s="109">
        <f t="shared" si="3"/>
        <v>18</v>
      </c>
      <c r="K11" s="107">
        <v>3</v>
      </c>
      <c r="L11" s="109">
        <f t="shared" si="7"/>
        <v>15</v>
      </c>
      <c r="M11" s="107">
        <v>5</v>
      </c>
      <c r="N11" s="107">
        <v>11</v>
      </c>
      <c r="O11" s="109">
        <f t="shared" si="4"/>
        <v>2</v>
      </c>
      <c r="P11" s="107">
        <v>3898</v>
      </c>
      <c r="Q11" s="40">
        <v>1050</v>
      </c>
      <c r="R11" s="26">
        <f t="shared" si="8"/>
        <v>2848</v>
      </c>
    </row>
    <row r="12" spans="1:18" ht="12.75">
      <c r="A12" s="38" t="s">
        <v>151</v>
      </c>
      <c r="B12" s="32">
        <f t="shared" si="0"/>
        <v>29</v>
      </c>
      <c r="C12" s="32">
        <f t="shared" si="1"/>
        <v>7429</v>
      </c>
      <c r="D12" s="117">
        <f t="shared" si="2"/>
        <v>27.586206896551722</v>
      </c>
      <c r="E12" s="117">
        <f t="shared" si="5"/>
        <v>13.793103448275861</v>
      </c>
      <c r="F12" s="117">
        <f t="shared" si="6"/>
        <v>20.689655172413794</v>
      </c>
      <c r="G12" s="38"/>
      <c r="H12" s="107">
        <v>31</v>
      </c>
      <c r="I12" s="107">
        <v>2</v>
      </c>
      <c r="J12" s="109">
        <f t="shared" si="3"/>
        <v>29</v>
      </c>
      <c r="K12" s="107">
        <v>8</v>
      </c>
      <c r="L12" s="109">
        <f t="shared" si="7"/>
        <v>21</v>
      </c>
      <c r="M12" s="107">
        <v>4</v>
      </c>
      <c r="N12" s="107">
        <v>19</v>
      </c>
      <c r="O12" s="109">
        <f t="shared" si="4"/>
        <v>6</v>
      </c>
      <c r="P12" s="107">
        <v>7625</v>
      </c>
      <c r="Q12" s="40">
        <v>196</v>
      </c>
      <c r="R12" s="26">
        <f t="shared" si="8"/>
        <v>7429</v>
      </c>
    </row>
    <row r="13" spans="1:18" s="16" customFormat="1" ht="12.75">
      <c r="A13" s="38" t="s">
        <v>152</v>
      </c>
      <c r="B13" s="32">
        <f t="shared" si="0"/>
        <v>36</v>
      </c>
      <c r="C13" s="32">
        <f t="shared" si="1"/>
        <v>7084</v>
      </c>
      <c r="D13" s="117">
        <f t="shared" si="2"/>
        <v>25</v>
      </c>
      <c r="E13" s="117">
        <f t="shared" si="5"/>
        <v>27.77777777777778</v>
      </c>
      <c r="F13" s="117">
        <f t="shared" si="6"/>
        <v>13.88888888888889</v>
      </c>
      <c r="G13" s="38"/>
      <c r="H13" s="107">
        <v>38</v>
      </c>
      <c r="I13" s="107">
        <v>2</v>
      </c>
      <c r="J13" s="109">
        <f t="shared" si="3"/>
        <v>36</v>
      </c>
      <c r="K13" s="107">
        <v>9</v>
      </c>
      <c r="L13" s="109">
        <f t="shared" si="7"/>
        <v>27</v>
      </c>
      <c r="M13" s="107">
        <v>10</v>
      </c>
      <c r="N13" s="107">
        <v>21</v>
      </c>
      <c r="O13" s="109">
        <f t="shared" si="4"/>
        <v>5</v>
      </c>
      <c r="P13" s="107">
        <v>7126</v>
      </c>
      <c r="Q13" s="44">
        <v>42</v>
      </c>
      <c r="R13" s="26">
        <f t="shared" si="8"/>
        <v>7084</v>
      </c>
    </row>
    <row r="14" spans="1:18" s="16" customFormat="1" ht="12.75">
      <c r="A14" s="38" t="s">
        <v>153</v>
      </c>
      <c r="B14" s="32">
        <f t="shared" si="0"/>
        <v>28</v>
      </c>
      <c r="C14" s="32">
        <f t="shared" si="1"/>
        <v>5968</v>
      </c>
      <c r="D14" s="117">
        <f t="shared" si="2"/>
        <v>28.571428571428573</v>
      </c>
      <c r="E14" s="117">
        <f t="shared" si="5"/>
        <v>46.42857142857143</v>
      </c>
      <c r="F14" s="117">
        <f t="shared" si="6"/>
        <v>17.857142857142858</v>
      </c>
      <c r="G14" s="38"/>
      <c r="H14" s="107">
        <v>31</v>
      </c>
      <c r="I14" s="107">
        <v>3</v>
      </c>
      <c r="J14" s="109">
        <f t="shared" si="3"/>
        <v>28</v>
      </c>
      <c r="K14" s="107">
        <v>8</v>
      </c>
      <c r="L14" s="109">
        <f t="shared" si="7"/>
        <v>20</v>
      </c>
      <c r="M14" s="107">
        <v>13</v>
      </c>
      <c r="N14" s="107">
        <v>10</v>
      </c>
      <c r="O14" s="109">
        <f t="shared" si="4"/>
        <v>5</v>
      </c>
      <c r="P14" s="107">
        <v>6807</v>
      </c>
      <c r="Q14" s="44">
        <v>839</v>
      </c>
      <c r="R14" s="26">
        <f t="shared" si="8"/>
        <v>5968</v>
      </c>
    </row>
    <row r="15" spans="1:18" s="16" customFormat="1" ht="12.75">
      <c r="A15" s="69" t="s">
        <v>154</v>
      </c>
      <c r="B15" s="34">
        <f t="shared" si="0"/>
        <v>17</v>
      </c>
      <c r="C15" s="34">
        <f t="shared" si="1"/>
        <v>3110</v>
      </c>
      <c r="D15" s="118">
        <f t="shared" si="2"/>
        <v>35.294117647058826</v>
      </c>
      <c r="E15" s="118">
        <f t="shared" si="5"/>
        <v>35.294117647058826</v>
      </c>
      <c r="F15" s="118">
        <f t="shared" si="6"/>
        <v>23.529411764705884</v>
      </c>
      <c r="G15" s="69"/>
      <c r="H15" s="107">
        <v>18</v>
      </c>
      <c r="I15" s="107">
        <v>1</v>
      </c>
      <c r="J15" s="109">
        <f t="shared" si="3"/>
        <v>17</v>
      </c>
      <c r="K15" s="107">
        <v>6</v>
      </c>
      <c r="L15" s="109">
        <f t="shared" si="7"/>
        <v>11</v>
      </c>
      <c r="M15" s="107">
        <v>6</v>
      </c>
      <c r="N15" s="107">
        <v>7</v>
      </c>
      <c r="O15" s="109">
        <f t="shared" si="4"/>
        <v>4</v>
      </c>
      <c r="P15" s="107">
        <v>3360</v>
      </c>
      <c r="Q15" s="44">
        <v>250</v>
      </c>
      <c r="R15" s="30">
        <f t="shared" si="8"/>
        <v>3110</v>
      </c>
    </row>
    <row r="16" spans="1:18" ht="12.75">
      <c r="A16" s="69" t="s">
        <v>213</v>
      </c>
      <c r="B16" s="34">
        <f aca="true" t="shared" si="9" ref="B16:B21">J16</f>
        <v>26</v>
      </c>
      <c r="C16" s="34">
        <f aca="true" t="shared" si="10" ref="C16:C21">R16</f>
        <v>5832</v>
      </c>
      <c r="D16" s="118">
        <f aca="true" t="shared" si="11" ref="D16:D21">K16*100/J16</f>
        <v>34.61538461538461</v>
      </c>
      <c r="E16" s="118">
        <f>M16*100/J16</f>
        <v>19.23076923076923</v>
      </c>
      <c r="F16" s="118">
        <f>O16*100/J16</f>
        <v>23.076923076923077</v>
      </c>
      <c r="G16" s="38"/>
      <c r="H16" s="107">
        <v>26</v>
      </c>
      <c r="I16" s="107">
        <v>0</v>
      </c>
      <c r="J16" s="109">
        <f aca="true" t="shared" si="12" ref="J16:J21">H16-I16</f>
        <v>26</v>
      </c>
      <c r="K16" s="107">
        <v>9</v>
      </c>
      <c r="L16" s="109">
        <f aca="true" t="shared" si="13" ref="L16:L22">J16-K16</f>
        <v>17</v>
      </c>
      <c r="M16" s="107">
        <v>5</v>
      </c>
      <c r="N16" s="107">
        <v>15</v>
      </c>
      <c r="O16" s="109">
        <f aca="true" t="shared" si="14" ref="O16:O21">J16-M16-N16</f>
        <v>6</v>
      </c>
      <c r="P16" s="107">
        <v>5832</v>
      </c>
      <c r="Q16" s="40">
        <v>0</v>
      </c>
      <c r="R16" s="26">
        <f>P16-Q16</f>
        <v>5832</v>
      </c>
    </row>
    <row r="17" spans="1:18" ht="12.75">
      <c r="A17" s="69" t="s">
        <v>216</v>
      </c>
      <c r="B17" s="34">
        <f t="shared" si="9"/>
        <v>10</v>
      </c>
      <c r="C17" s="34">
        <f t="shared" si="10"/>
        <v>2888</v>
      </c>
      <c r="D17" s="118">
        <f t="shared" si="11"/>
        <v>70</v>
      </c>
      <c r="E17" s="118">
        <f>M17*100/J17</f>
        <v>40</v>
      </c>
      <c r="F17" s="118">
        <f>O17*100/J17</f>
        <v>20</v>
      </c>
      <c r="G17" s="38"/>
      <c r="H17" s="107">
        <v>11</v>
      </c>
      <c r="I17" s="107">
        <v>1</v>
      </c>
      <c r="J17" s="109">
        <f t="shared" si="12"/>
        <v>10</v>
      </c>
      <c r="K17" s="107">
        <v>7</v>
      </c>
      <c r="L17" s="109">
        <f t="shared" si="13"/>
        <v>3</v>
      </c>
      <c r="M17" s="107">
        <v>4</v>
      </c>
      <c r="N17" s="107">
        <v>4</v>
      </c>
      <c r="O17" s="109">
        <f t="shared" si="14"/>
        <v>2</v>
      </c>
      <c r="P17" s="107">
        <v>3181</v>
      </c>
      <c r="Q17" s="40">
        <v>293</v>
      </c>
      <c r="R17" s="26">
        <f>P17-Q17</f>
        <v>2888</v>
      </c>
    </row>
    <row r="18" spans="1:18" ht="12.75">
      <c r="A18" s="69" t="s">
        <v>242</v>
      </c>
      <c r="B18" s="34">
        <f t="shared" si="9"/>
        <v>26</v>
      </c>
      <c r="C18" s="34">
        <f t="shared" si="10"/>
        <v>6014</v>
      </c>
      <c r="D18" s="118">
        <f t="shared" si="11"/>
        <v>30.76923076923077</v>
      </c>
      <c r="E18" s="118">
        <f>M18*100/J18</f>
        <v>23.076923076923077</v>
      </c>
      <c r="F18" s="118">
        <f>O18*100/J18</f>
        <v>26.923076923076923</v>
      </c>
      <c r="G18" s="38"/>
      <c r="H18" s="107">
        <v>28</v>
      </c>
      <c r="I18" s="107">
        <v>2</v>
      </c>
      <c r="J18" s="109">
        <f t="shared" si="12"/>
        <v>26</v>
      </c>
      <c r="K18" s="107">
        <v>8</v>
      </c>
      <c r="L18" s="109">
        <f t="shared" si="13"/>
        <v>18</v>
      </c>
      <c r="M18" s="107">
        <v>6</v>
      </c>
      <c r="N18" s="107">
        <v>13</v>
      </c>
      <c r="O18" s="109">
        <f t="shared" si="14"/>
        <v>7</v>
      </c>
      <c r="P18" s="107">
        <v>6699</v>
      </c>
      <c r="Q18" s="40">
        <v>685</v>
      </c>
      <c r="R18" s="26">
        <f>P18-Q18</f>
        <v>6014</v>
      </c>
    </row>
    <row r="19" spans="1:18" ht="12.75">
      <c r="A19" s="69" t="s">
        <v>249</v>
      </c>
      <c r="B19" s="34">
        <f t="shared" si="9"/>
        <v>17</v>
      </c>
      <c r="C19" s="34">
        <f t="shared" si="10"/>
        <v>6416</v>
      </c>
      <c r="D19" s="118">
        <f t="shared" si="11"/>
        <v>47.05882352941177</v>
      </c>
      <c r="E19" s="118">
        <f>M19*100/J19</f>
        <v>11.764705882352942</v>
      </c>
      <c r="F19" s="118">
        <f>O19*100/J19</f>
        <v>17.647058823529413</v>
      </c>
      <c r="G19" s="38"/>
      <c r="H19" s="107">
        <v>17</v>
      </c>
      <c r="I19" s="107">
        <v>0</v>
      </c>
      <c r="J19" s="109">
        <f t="shared" si="12"/>
        <v>17</v>
      </c>
      <c r="K19" s="107">
        <v>8</v>
      </c>
      <c r="L19" s="109">
        <f t="shared" si="13"/>
        <v>9</v>
      </c>
      <c r="M19" s="107">
        <v>2</v>
      </c>
      <c r="N19" s="107">
        <v>12</v>
      </c>
      <c r="O19" s="109">
        <f t="shared" si="14"/>
        <v>3</v>
      </c>
      <c r="P19" s="107">
        <v>6416</v>
      </c>
      <c r="Q19" s="40">
        <v>0</v>
      </c>
      <c r="R19" s="26">
        <f>P19-Q19</f>
        <v>6416</v>
      </c>
    </row>
    <row r="20" spans="1:18" ht="12.75">
      <c r="A20" s="69" t="s">
        <v>251</v>
      </c>
      <c r="B20" s="34">
        <f t="shared" si="9"/>
        <v>26</v>
      </c>
      <c r="C20" s="34">
        <f t="shared" si="10"/>
        <v>5796</v>
      </c>
      <c r="D20" s="118">
        <f t="shared" si="11"/>
        <v>19.23076923076923</v>
      </c>
      <c r="E20" s="118">
        <f>M20*100/J20</f>
        <v>19.23076923076923</v>
      </c>
      <c r="F20" s="118">
        <f>O20*100/J20</f>
        <v>34.61538461538461</v>
      </c>
      <c r="G20" s="38"/>
      <c r="H20" s="107">
        <v>26</v>
      </c>
      <c r="I20" s="107">
        <v>0</v>
      </c>
      <c r="J20" s="109">
        <f t="shared" si="12"/>
        <v>26</v>
      </c>
      <c r="K20" s="107">
        <v>5</v>
      </c>
      <c r="L20" s="109">
        <f t="shared" si="13"/>
        <v>21</v>
      </c>
      <c r="M20" s="107">
        <v>5</v>
      </c>
      <c r="N20" s="107">
        <v>12</v>
      </c>
      <c r="O20" s="109">
        <f t="shared" si="14"/>
        <v>9</v>
      </c>
      <c r="P20" s="107">
        <v>5796</v>
      </c>
      <c r="Q20" s="40">
        <v>0</v>
      </c>
      <c r="R20" s="26">
        <f>P20-Q20</f>
        <v>5796</v>
      </c>
    </row>
    <row r="21" spans="1:18" ht="12.75">
      <c r="A21" s="69" t="s">
        <v>257</v>
      </c>
      <c r="B21" s="34">
        <f t="shared" si="9"/>
        <v>14</v>
      </c>
      <c r="C21" s="34">
        <f t="shared" si="10"/>
        <v>4467</v>
      </c>
      <c r="D21" s="118">
        <f t="shared" si="11"/>
        <v>28.571428571428573</v>
      </c>
      <c r="E21" s="118">
        <f aca="true" t="shared" si="15" ref="E21:E26">M21*100/J21</f>
        <v>14.285714285714286</v>
      </c>
      <c r="F21" s="118">
        <f aca="true" t="shared" si="16" ref="F21:F26">O21*100/J21</f>
        <v>50</v>
      </c>
      <c r="G21" s="38"/>
      <c r="H21" s="107">
        <v>15</v>
      </c>
      <c r="I21" s="107">
        <v>1</v>
      </c>
      <c r="J21" s="109">
        <f t="shared" si="12"/>
        <v>14</v>
      </c>
      <c r="K21" s="107">
        <v>4</v>
      </c>
      <c r="L21" s="109">
        <f t="shared" si="13"/>
        <v>10</v>
      </c>
      <c r="M21" s="107">
        <v>2</v>
      </c>
      <c r="N21" s="107">
        <v>5</v>
      </c>
      <c r="O21" s="109">
        <f t="shared" si="14"/>
        <v>7</v>
      </c>
      <c r="P21" s="107">
        <v>4563</v>
      </c>
      <c r="Q21" s="40">
        <v>96</v>
      </c>
      <c r="R21" s="26">
        <f aca="true" t="shared" si="17" ref="R21:R26">P21-Q21</f>
        <v>4467</v>
      </c>
    </row>
    <row r="22" spans="1:18" ht="12.75">
      <c r="A22" s="69" t="s">
        <v>260</v>
      </c>
      <c r="B22" s="34">
        <f>J22</f>
        <v>19</v>
      </c>
      <c r="C22" s="34">
        <f>R22</f>
        <v>3897</v>
      </c>
      <c r="D22" s="118">
        <f>K22*100/J22</f>
        <v>47.36842105263158</v>
      </c>
      <c r="E22" s="118">
        <f t="shared" si="15"/>
        <v>42.10526315789474</v>
      </c>
      <c r="F22" s="118">
        <f t="shared" si="16"/>
        <v>26.31578947368421</v>
      </c>
      <c r="G22" s="38"/>
      <c r="H22" s="107">
        <v>20</v>
      </c>
      <c r="I22" s="107">
        <v>1</v>
      </c>
      <c r="J22" s="109">
        <f aca="true" t="shared" si="18" ref="J22:J32">H22-I22</f>
        <v>19</v>
      </c>
      <c r="K22" s="107">
        <v>9</v>
      </c>
      <c r="L22" s="109">
        <f t="shared" si="13"/>
        <v>10</v>
      </c>
      <c r="M22" s="107">
        <v>8</v>
      </c>
      <c r="N22" s="107">
        <v>6</v>
      </c>
      <c r="O22" s="109">
        <f>J22-M22-N22</f>
        <v>5</v>
      </c>
      <c r="P22" s="107">
        <v>4213</v>
      </c>
      <c r="Q22" s="40">
        <v>316</v>
      </c>
      <c r="R22" s="26">
        <f t="shared" si="17"/>
        <v>3897</v>
      </c>
    </row>
    <row r="23" spans="1:18" ht="12.75">
      <c r="A23" s="69" t="s">
        <v>262</v>
      </c>
      <c r="B23" s="34">
        <f>J23</f>
        <v>15</v>
      </c>
      <c r="C23" s="34">
        <f>R23</f>
        <v>2508</v>
      </c>
      <c r="D23" s="118">
        <f>K23*100/J23</f>
        <v>40</v>
      </c>
      <c r="E23" s="118">
        <f t="shared" si="15"/>
        <v>6.666666666666667</v>
      </c>
      <c r="F23" s="118">
        <f t="shared" si="16"/>
        <v>46.666666666666664</v>
      </c>
      <c r="G23" s="38"/>
      <c r="H23" s="107">
        <v>15</v>
      </c>
      <c r="I23" s="107">
        <v>0</v>
      </c>
      <c r="J23" s="109">
        <f t="shared" si="18"/>
        <v>15</v>
      </c>
      <c r="K23" s="107">
        <v>6</v>
      </c>
      <c r="L23" s="109">
        <f aca="true" t="shared" si="19" ref="L23:L30">J23-K23</f>
        <v>9</v>
      </c>
      <c r="M23" s="107">
        <v>1</v>
      </c>
      <c r="N23" s="107">
        <v>7</v>
      </c>
      <c r="O23" s="109">
        <f>J23-M23-N23</f>
        <v>7</v>
      </c>
      <c r="P23" s="107">
        <v>2508</v>
      </c>
      <c r="Q23" s="40">
        <v>0</v>
      </c>
      <c r="R23" s="26">
        <f t="shared" si="17"/>
        <v>2508</v>
      </c>
    </row>
    <row r="24" spans="1:18" ht="12.75">
      <c r="A24" s="69" t="s">
        <v>264</v>
      </c>
      <c r="B24" s="34">
        <f>J24</f>
        <v>10</v>
      </c>
      <c r="C24" s="34">
        <f>R24</f>
        <v>2569</v>
      </c>
      <c r="D24" s="118">
        <f>K24*100/J24</f>
        <v>30</v>
      </c>
      <c r="E24" s="118">
        <f t="shared" si="15"/>
        <v>40</v>
      </c>
      <c r="F24" s="118">
        <f t="shared" si="16"/>
        <v>0</v>
      </c>
      <c r="G24" s="38"/>
      <c r="H24" s="107">
        <v>10</v>
      </c>
      <c r="I24" s="107">
        <v>0</v>
      </c>
      <c r="J24" s="109">
        <f t="shared" si="18"/>
        <v>10</v>
      </c>
      <c r="K24" s="107">
        <v>3</v>
      </c>
      <c r="L24" s="109">
        <f t="shared" si="19"/>
        <v>7</v>
      </c>
      <c r="M24" s="107">
        <v>4</v>
      </c>
      <c r="N24" s="107">
        <v>6</v>
      </c>
      <c r="O24" s="109">
        <f>J24-M24-N24</f>
        <v>0</v>
      </c>
      <c r="P24" s="107">
        <v>2569</v>
      </c>
      <c r="Q24" s="40">
        <v>0</v>
      </c>
      <c r="R24" s="26">
        <f t="shared" si="17"/>
        <v>2569</v>
      </c>
    </row>
    <row r="25" spans="1:18" ht="12.75">
      <c r="A25" s="69" t="s">
        <v>266</v>
      </c>
      <c r="B25" s="34">
        <f>J25</f>
        <v>7</v>
      </c>
      <c r="C25" s="34">
        <f>R25</f>
        <v>1986</v>
      </c>
      <c r="D25" s="118">
        <f>K25*100/J25</f>
        <v>42.857142857142854</v>
      </c>
      <c r="E25" s="118">
        <f t="shared" si="15"/>
        <v>42.857142857142854</v>
      </c>
      <c r="F25" s="118">
        <f t="shared" si="16"/>
        <v>0</v>
      </c>
      <c r="G25" s="38"/>
      <c r="H25" s="107">
        <v>8</v>
      </c>
      <c r="I25" s="107">
        <v>1</v>
      </c>
      <c r="J25" s="109">
        <f t="shared" si="18"/>
        <v>7</v>
      </c>
      <c r="K25" s="107">
        <v>3</v>
      </c>
      <c r="L25" s="109">
        <f t="shared" si="19"/>
        <v>4</v>
      </c>
      <c r="M25" s="107">
        <v>3</v>
      </c>
      <c r="N25" s="107">
        <v>4</v>
      </c>
      <c r="O25" s="109">
        <f>J25-M25-N25</f>
        <v>0</v>
      </c>
      <c r="P25" s="107">
        <v>2238</v>
      </c>
      <c r="Q25" s="40">
        <v>252</v>
      </c>
      <c r="R25" s="26">
        <f t="shared" si="17"/>
        <v>1986</v>
      </c>
    </row>
    <row r="26" spans="1:18" ht="12.75">
      <c r="A26" s="69" t="s">
        <v>289</v>
      </c>
      <c r="B26" s="34">
        <f>J26</f>
        <v>36</v>
      </c>
      <c r="C26" s="34">
        <f>R26</f>
        <v>11077</v>
      </c>
      <c r="D26" s="118">
        <f>K26*100/J26</f>
        <v>22.22222222222222</v>
      </c>
      <c r="E26" s="118">
        <f t="shared" si="15"/>
        <v>22.22222222222222</v>
      </c>
      <c r="F26" s="118">
        <f t="shared" si="16"/>
        <v>33.333333333333336</v>
      </c>
      <c r="G26" s="38"/>
      <c r="H26" s="107">
        <v>42</v>
      </c>
      <c r="I26" s="107">
        <v>6</v>
      </c>
      <c r="J26" s="109">
        <f t="shared" si="18"/>
        <v>36</v>
      </c>
      <c r="K26" s="107">
        <v>8</v>
      </c>
      <c r="L26" s="109">
        <f t="shared" si="19"/>
        <v>28</v>
      </c>
      <c r="M26" s="107">
        <v>8</v>
      </c>
      <c r="N26" s="107">
        <v>16</v>
      </c>
      <c r="O26" s="109">
        <f>J26-M26-N26</f>
        <v>12</v>
      </c>
      <c r="P26" s="107">
        <v>12634</v>
      </c>
      <c r="Q26" s="40">
        <v>1557</v>
      </c>
      <c r="R26" s="26">
        <f t="shared" si="17"/>
        <v>11077</v>
      </c>
    </row>
    <row r="27" spans="1:18" ht="12.75">
      <c r="A27" s="69" t="s">
        <v>293</v>
      </c>
      <c r="B27" s="34">
        <f aca="true" t="shared" si="20" ref="B27:B32">J27</f>
        <v>11</v>
      </c>
      <c r="C27" s="34">
        <f aca="true" t="shared" si="21" ref="C27:C32">R27</f>
        <v>4026</v>
      </c>
      <c r="D27" s="118">
        <f aca="true" t="shared" si="22" ref="D27:D32">K27*100/J27</f>
        <v>27.272727272727273</v>
      </c>
      <c r="E27" s="118">
        <f>M27*100/J27</f>
        <v>27.272727272727273</v>
      </c>
      <c r="F27" s="118">
        <f>O27*100/J27</f>
        <v>45.45454545454545</v>
      </c>
      <c r="G27" s="38"/>
      <c r="H27" s="107">
        <v>11</v>
      </c>
      <c r="I27" s="107">
        <v>0</v>
      </c>
      <c r="J27" s="109">
        <f t="shared" si="18"/>
        <v>11</v>
      </c>
      <c r="K27" s="107">
        <v>3</v>
      </c>
      <c r="L27" s="109">
        <f t="shared" si="19"/>
        <v>8</v>
      </c>
      <c r="M27" s="107">
        <v>3</v>
      </c>
      <c r="N27" s="107">
        <v>3</v>
      </c>
      <c r="O27" s="109">
        <f aca="true" t="shared" si="23" ref="O27:O32">J27-M27-N27</f>
        <v>5</v>
      </c>
      <c r="P27" s="107">
        <v>4026</v>
      </c>
      <c r="Q27" s="40">
        <v>0</v>
      </c>
      <c r="R27" s="26">
        <f>P27-Q27</f>
        <v>4026</v>
      </c>
    </row>
    <row r="28" spans="1:18" ht="12.75">
      <c r="A28" s="69" t="s">
        <v>299</v>
      </c>
      <c r="B28" s="34">
        <f t="shared" si="20"/>
        <v>13</v>
      </c>
      <c r="C28" s="34">
        <f t="shared" si="21"/>
        <v>5479</v>
      </c>
      <c r="D28" s="118">
        <f t="shared" si="22"/>
        <v>23.076923076923077</v>
      </c>
      <c r="E28" s="118">
        <f>M28*100/J28</f>
        <v>38.46153846153846</v>
      </c>
      <c r="F28" s="118">
        <f>O28*100/J28</f>
        <v>30.76923076923077</v>
      </c>
      <c r="G28" s="38"/>
      <c r="H28" s="107">
        <v>13</v>
      </c>
      <c r="I28" s="107">
        <v>0</v>
      </c>
      <c r="J28" s="109">
        <f t="shared" si="18"/>
        <v>13</v>
      </c>
      <c r="K28" s="107">
        <v>3</v>
      </c>
      <c r="L28" s="109">
        <f t="shared" si="19"/>
        <v>10</v>
      </c>
      <c r="M28" s="107">
        <v>5</v>
      </c>
      <c r="N28" s="107">
        <v>4</v>
      </c>
      <c r="O28" s="109">
        <f t="shared" si="23"/>
        <v>4</v>
      </c>
      <c r="P28" s="107">
        <v>5479</v>
      </c>
      <c r="Q28" s="40">
        <v>0</v>
      </c>
      <c r="R28" s="26">
        <f>P28-Q28</f>
        <v>5479</v>
      </c>
    </row>
    <row r="29" spans="1:18" ht="12.75">
      <c r="A29" s="69" t="s">
        <v>301</v>
      </c>
      <c r="B29" s="34">
        <f t="shared" si="20"/>
        <v>10</v>
      </c>
      <c r="C29" s="34">
        <f t="shared" si="21"/>
        <v>3791</v>
      </c>
      <c r="D29" s="118">
        <f t="shared" si="22"/>
        <v>30</v>
      </c>
      <c r="E29" s="118">
        <f>M29*100/J29</f>
        <v>50</v>
      </c>
      <c r="F29" s="118">
        <f>O29*100/J29</f>
        <v>30</v>
      </c>
      <c r="G29" s="38"/>
      <c r="H29" s="107">
        <v>10</v>
      </c>
      <c r="I29" s="107">
        <v>0</v>
      </c>
      <c r="J29" s="109">
        <f t="shared" si="18"/>
        <v>10</v>
      </c>
      <c r="K29" s="107">
        <v>3</v>
      </c>
      <c r="L29" s="109">
        <f t="shared" si="19"/>
        <v>7</v>
      </c>
      <c r="M29" s="107">
        <v>5</v>
      </c>
      <c r="N29" s="107">
        <v>2</v>
      </c>
      <c r="O29" s="109">
        <f t="shared" si="23"/>
        <v>3</v>
      </c>
      <c r="P29" s="107">
        <v>3791</v>
      </c>
      <c r="Q29" s="40">
        <v>0</v>
      </c>
      <c r="R29" s="26">
        <f>P29-Q29</f>
        <v>3791</v>
      </c>
    </row>
    <row r="30" spans="1:18" ht="12.75">
      <c r="A30" s="69" t="s">
        <v>304</v>
      </c>
      <c r="B30" s="34">
        <f t="shared" si="20"/>
        <v>13</v>
      </c>
      <c r="C30" s="34">
        <f t="shared" si="21"/>
        <v>3712</v>
      </c>
      <c r="D30" s="118">
        <f t="shared" si="22"/>
        <v>30.76923076923077</v>
      </c>
      <c r="E30" s="118">
        <f>M30*100/J30</f>
        <v>23.076923076923077</v>
      </c>
      <c r="F30" s="118">
        <f>O30*100/J30</f>
        <v>30.76923076923077</v>
      </c>
      <c r="G30" s="38"/>
      <c r="H30" s="107">
        <v>15</v>
      </c>
      <c r="I30" s="107">
        <v>2</v>
      </c>
      <c r="J30" s="109">
        <f t="shared" si="18"/>
        <v>13</v>
      </c>
      <c r="K30" s="107">
        <v>4</v>
      </c>
      <c r="L30" s="109">
        <f t="shared" si="19"/>
        <v>9</v>
      </c>
      <c r="M30" s="107">
        <v>3</v>
      </c>
      <c r="N30" s="107">
        <v>6</v>
      </c>
      <c r="O30" s="109">
        <f t="shared" si="23"/>
        <v>4</v>
      </c>
      <c r="P30" s="107">
        <v>4393</v>
      </c>
      <c r="Q30" s="40">
        <v>681</v>
      </c>
      <c r="R30" s="26">
        <f>P30-Q30</f>
        <v>3712</v>
      </c>
    </row>
    <row r="31" spans="1:18" ht="12.75">
      <c r="A31" s="69" t="s">
        <v>308</v>
      </c>
      <c r="B31" s="34">
        <f t="shared" si="20"/>
        <v>7</v>
      </c>
      <c r="C31" s="34">
        <f t="shared" si="21"/>
        <v>1751</v>
      </c>
      <c r="D31" s="118">
        <f t="shared" si="22"/>
        <v>0</v>
      </c>
      <c r="E31" s="118">
        <f>M31*100/J31</f>
        <v>14.285714285714286</v>
      </c>
      <c r="F31" s="118">
        <f>O31*100/J31</f>
        <v>57.142857142857146</v>
      </c>
      <c r="G31" s="38"/>
      <c r="H31" s="107">
        <v>8</v>
      </c>
      <c r="I31" s="107">
        <v>1</v>
      </c>
      <c r="J31" s="109">
        <f t="shared" si="18"/>
        <v>7</v>
      </c>
      <c r="K31" s="107">
        <v>0</v>
      </c>
      <c r="L31" s="109">
        <f aca="true" t="shared" si="24" ref="L31:L39">J31-K31</f>
        <v>7</v>
      </c>
      <c r="M31" s="107">
        <v>1</v>
      </c>
      <c r="N31" s="107">
        <v>2</v>
      </c>
      <c r="O31" s="109">
        <f t="shared" si="23"/>
        <v>4</v>
      </c>
      <c r="P31" s="107">
        <v>2250</v>
      </c>
      <c r="Q31" s="40">
        <v>499</v>
      </c>
      <c r="R31" s="26">
        <f>P31-Q31</f>
        <v>1751</v>
      </c>
    </row>
    <row r="32" spans="1:18" ht="12.75">
      <c r="A32" s="69" t="s">
        <v>309</v>
      </c>
      <c r="B32" s="34">
        <f t="shared" si="20"/>
        <v>19</v>
      </c>
      <c r="C32" s="34">
        <f t="shared" si="21"/>
        <v>6366</v>
      </c>
      <c r="D32" s="118">
        <f t="shared" si="22"/>
        <v>42.10526315789474</v>
      </c>
      <c r="E32" s="118">
        <f aca="true" t="shared" si="25" ref="E32:E39">M32*100/J32</f>
        <v>31.57894736842105</v>
      </c>
      <c r="F32" s="118">
        <f aca="true" t="shared" si="26" ref="F32:F39">O32*100/J32</f>
        <v>26.31578947368421</v>
      </c>
      <c r="G32" s="38"/>
      <c r="H32" s="107">
        <v>19</v>
      </c>
      <c r="I32" s="107">
        <v>0</v>
      </c>
      <c r="J32" s="109">
        <f t="shared" si="18"/>
        <v>19</v>
      </c>
      <c r="K32" s="107">
        <v>8</v>
      </c>
      <c r="L32" s="109">
        <f t="shared" si="24"/>
        <v>11</v>
      </c>
      <c r="M32" s="107">
        <v>6</v>
      </c>
      <c r="N32" s="107">
        <v>8</v>
      </c>
      <c r="O32" s="109">
        <f t="shared" si="23"/>
        <v>5</v>
      </c>
      <c r="P32" s="107">
        <v>6366</v>
      </c>
      <c r="Q32" s="40">
        <v>0</v>
      </c>
      <c r="R32" s="26">
        <f aca="true" t="shared" si="27" ref="R32:R39">P32-Q32</f>
        <v>6366</v>
      </c>
    </row>
    <row r="33" spans="1:18" ht="12.75">
      <c r="A33" s="69" t="s">
        <v>310</v>
      </c>
      <c r="B33" s="34">
        <f aca="true" t="shared" si="28" ref="B33:B39">J33</f>
        <v>17</v>
      </c>
      <c r="C33" s="34">
        <f aca="true" t="shared" si="29" ref="C33:C39">R33</f>
        <v>6921</v>
      </c>
      <c r="D33" s="118">
        <f aca="true" t="shared" si="30" ref="D33:D39">K33*100/J33</f>
        <v>47.05882352941177</v>
      </c>
      <c r="E33" s="118">
        <f t="shared" si="25"/>
        <v>35.294117647058826</v>
      </c>
      <c r="F33" s="118">
        <f t="shared" si="26"/>
        <v>47.05882352941177</v>
      </c>
      <c r="G33" s="38"/>
      <c r="H33" s="107">
        <v>19</v>
      </c>
      <c r="I33" s="107">
        <v>2</v>
      </c>
      <c r="J33" s="109">
        <f aca="true" t="shared" si="31" ref="J33:J40">H33-I33</f>
        <v>17</v>
      </c>
      <c r="K33" s="107">
        <v>8</v>
      </c>
      <c r="L33" s="109">
        <f t="shared" si="24"/>
        <v>9</v>
      </c>
      <c r="M33" s="107">
        <v>6</v>
      </c>
      <c r="N33" s="107">
        <v>3</v>
      </c>
      <c r="O33" s="109">
        <f aca="true" t="shared" si="32" ref="O33:O39">J33-M33-N33</f>
        <v>8</v>
      </c>
      <c r="P33" s="107">
        <v>7392</v>
      </c>
      <c r="Q33" s="40">
        <v>471</v>
      </c>
      <c r="R33" s="26">
        <f t="shared" si="27"/>
        <v>6921</v>
      </c>
    </row>
    <row r="34" spans="1:18" ht="12.75">
      <c r="A34" s="69" t="s">
        <v>332</v>
      </c>
      <c r="B34" s="34">
        <f t="shared" si="28"/>
        <v>15</v>
      </c>
      <c r="C34" s="34">
        <f t="shared" si="29"/>
        <v>5106</v>
      </c>
      <c r="D34" s="118">
        <f t="shared" si="30"/>
        <v>40</v>
      </c>
      <c r="E34" s="118">
        <f t="shared" si="25"/>
        <v>20</v>
      </c>
      <c r="F34" s="118">
        <f t="shared" si="26"/>
        <v>33.333333333333336</v>
      </c>
      <c r="G34" s="38"/>
      <c r="H34" s="107">
        <v>17</v>
      </c>
      <c r="I34" s="107">
        <v>2</v>
      </c>
      <c r="J34" s="109">
        <f t="shared" si="31"/>
        <v>15</v>
      </c>
      <c r="K34" s="107">
        <v>6</v>
      </c>
      <c r="L34" s="109">
        <f t="shared" si="24"/>
        <v>9</v>
      </c>
      <c r="M34" s="107">
        <v>3</v>
      </c>
      <c r="N34" s="107">
        <v>7</v>
      </c>
      <c r="O34" s="109">
        <f t="shared" si="32"/>
        <v>5</v>
      </c>
      <c r="P34" s="107">
        <v>5972</v>
      </c>
      <c r="Q34" s="40">
        <v>866</v>
      </c>
      <c r="R34" s="26">
        <f t="shared" si="27"/>
        <v>5106</v>
      </c>
    </row>
    <row r="35" spans="1:18" ht="12.75">
      <c r="A35" s="69" t="s">
        <v>334</v>
      </c>
      <c r="B35" s="34">
        <f t="shared" si="28"/>
        <v>18</v>
      </c>
      <c r="C35" s="34">
        <f t="shared" si="29"/>
        <v>4330</v>
      </c>
      <c r="D35" s="118">
        <f t="shared" si="30"/>
        <v>22.22222222222222</v>
      </c>
      <c r="E35" s="118">
        <f t="shared" si="25"/>
        <v>33.333333333333336</v>
      </c>
      <c r="F35" s="118">
        <f t="shared" si="26"/>
        <v>38.888888888888886</v>
      </c>
      <c r="G35" s="38"/>
      <c r="H35" s="107">
        <v>19</v>
      </c>
      <c r="I35" s="107">
        <v>1</v>
      </c>
      <c r="J35" s="109">
        <f t="shared" si="31"/>
        <v>18</v>
      </c>
      <c r="K35" s="107">
        <v>4</v>
      </c>
      <c r="L35" s="109">
        <f t="shared" si="24"/>
        <v>14</v>
      </c>
      <c r="M35" s="107">
        <v>6</v>
      </c>
      <c r="N35" s="107">
        <v>5</v>
      </c>
      <c r="O35" s="109">
        <f t="shared" si="32"/>
        <v>7</v>
      </c>
      <c r="P35" s="107">
        <v>5330</v>
      </c>
      <c r="Q35" s="40">
        <v>1000</v>
      </c>
      <c r="R35" s="26">
        <f t="shared" si="27"/>
        <v>4330</v>
      </c>
    </row>
    <row r="36" spans="1:18" ht="12.75">
      <c r="A36" s="69" t="s">
        <v>337</v>
      </c>
      <c r="B36" s="34">
        <f t="shared" si="28"/>
        <v>31</v>
      </c>
      <c r="C36" s="34">
        <f t="shared" si="29"/>
        <v>9152</v>
      </c>
      <c r="D36" s="118">
        <f t="shared" si="30"/>
        <v>35.483870967741936</v>
      </c>
      <c r="E36" s="118">
        <f t="shared" si="25"/>
        <v>29.032258064516128</v>
      </c>
      <c r="F36" s="118">
        <f t="shared" si="26"/>
        <v>32.25806451612903</v>
      </c>
      <c r="G36" s="38"/>
      <c r="H36" s="107">
        <v>32</v>
      </c>
      <c r="I36" s="107">
        <v>1</v>
      </c>
      <c r="J36" s="109">
        <f t="shared" si="31"/>
        <v>31</v>
      </c>
      <c r="K36" s="107">
        <v>11</v>
      </c>
      <c r="L36" s="109">
        <f t="shared" si="24"/>
        <v>20</v>
      </c>
      <c r="M36" s="107">
        <v>9</v>
      </c>
      <c r="N36" s="107">
        <v>12</v>
      </c>
      <c r="O36" s="109">
        <f t="shared" si="32"/>
        <v>10</v>
      </c>
      <c r="P36" s="107">
        <v>9396</v>
      </c>
      <c r="Q36" s="40">
        <v>244</v>
      </c>
      <c r="R36" s="26">
        <f t="shared" si="27"/>
        <v>9152</v>
      </c>
    </row>
    <row r="37" spans="1:18" ht="12.75">
      <c r="A37" s="69" t="s">
        <v>338</v>
      </c>
      <c r="B37" s="34">
        <f t="shared" si="28"/>
        <v>12</v>
      </c>
      <c r="C37" s="34">
        <f t="shared" si="29"/>
        <v>4779</v>
      </c>
      <c r="D37" s="118">
        <f t="shared" si="30"/>
        <v>25</v>
      </c>
      <c r="E37" s="118">
        <f t="shared" si="25"/>
        <v>33.333333333333336</v>
      </c>
      <c r="F37" s="118">
        <f t="shared" si="26"/>
        <v>0</v>
      </c>
      <c r="G37" s="38"/>
      <c r="H37" s="107">
        <v>14</v>
      </c>
      <c r="I37" s="107">
        <v>2</v>
      </c>
      <c r="J37" s="109">
        <f t="shared" si="31"/>
        <v>12</v>
      </c>
      <c r="K37" s="107">
        <v>3</v>
      </c>
      <c r="L37" s="109">
        <f t="shared" si="24"/>
        <v>9</v>
      </c>
      <c r="M37" s="107">
        <v>4</v>
      </c>
      <c r="N37" s="107">
        <v>8</v>
      </c>
      <c r="O37" s="109">
        <f t="shared" si="32"/>
        <v>0</v>
      </c>
      <c r="P37" s="107">
        <v>5207</v>
      </c>
      <c r="Q37" s="40">
        <v>428</v>
      </c>
      <c r="R37" s="26">
        <f t="shared" si="27"/>
        <v>4779</v>
      </c>
    </row>
    <row r="38" spans="1:18" ht="12.75">
      <c r="A38" s="69" t="s">
        <v>339</v>
      </c>
      <c r="B38" s="34">
        <f t="shared" si="28"/>
        <v>11</v>
      </c>
      <c r="C38" s="34">
        <f t="shared" si="29"/>
        <v>2173</v>
      </c>
      <c r="D38" s="118">
        <f t="shared" si="30"/>
        <v>45.45454545454545</v>
      </c>
      <c r="E38" s="118">
        <f t="shared" si="25"/>
        <v>54.54545454545455</v>
      </c>
      <c r="F38" s="118">
        <f t="shared" si="26"/>
        <v>9.090909090909092</v>
      </c>
      <c r="G38" s="38"/>
      <c r="H38" s="107">
        <v>11</v>
      </c>
      <c r="I38" s="107">
        <v>0</v>
      </c>
      <c r="J38" s="109">
        <f t="shared" si="31"/>
        <v>11</v>
      </c>
      <c r="K38" s="107">
        <v>5</v>
      </c>
      <c r="L38" s="109">
        <f t="shared" si="24"/>
        <v>6</v>
      </c>
      <c r="M38" s="107">
        <v>6</v>
      </c>
      <c r="N38" s="107">
        <v>4</v>
      </c>
      <c r="O38" s="109">
        <f t="shared" si="32"/>
        <v>1</v>
      </c>
      <c r="P38" s="107">
        <v>2173</v>
      </c>
      <c r="Q38" s="40">
        <v>0</v>
      </c>
      <c r="R38" s="26">
        <f t="shared" si="27"/>
        <v>2173</v>
      </c>
    </row>
    <row r="39" spans="1:18" ht="12.75">
      <c r="A39" s="69" t="s">
        <v>340</v>
      </c>
      <c r="B39" s="34">
        <f t="shared" si="28"/>
        <v>11</v>
      </c>
      <c r="C39" s="34">
        <f t="shared" si="29"/>
        <v>3775</v>
      </c>
      <c r="D39" s="118">
        <f t="shared" si="30"/>
        <v>36.36363636363637</v>
      </c>
      <c r="E39" s="118">
        <f t="shared" si="25"/>
        <v>45.45454545454545</v>
      </c>
      <c r="F39" s="118">
        <f t="shared" si="26"/>
        <v>36.36363636363637</v>
      </c>
      <c r="G39" s="38"/>
      <c r="H39" s="107">
        <v>11</v>
      </c>
      <c r="I39" s="107">
        <v>0</v>
      </c>
      <c r="J39" s="109">
        <f t="shared" si="31"/>
        <v>11</v>
      </c>
      <c r="K39" s="107">
        <v>4</v>
      </c>
      <c r="L39" s="109">
        <f t="shared" si="24"/>
        <v>7</v>
      </c>
      <c r="M39" s="107">
        <v>5</v>
      </c>
      <c r="N39" s="107">
        <v>2</v>
      </c>
      <c r="O39" s="109">
        <f t="shared" si="32"/>
        <v>4</v>
      </c>
      <c r="P39" s="107">
        <v>3775</v>
      </c>
      <c r="Q39" s="40">
        <v>0</v>
      </c>
      <c r="R39" s="26">
        <f t="shared" si="27"/>
        <v>3775</v>
      </c>
    </row>
    <row r="40" spans="1:18" ht="12.75">
      <c r="A40" s="69" t="s">
        <v>341</v>
      </c>
      <c r="B40" s="34">
        <f aca="true" t="shared" si="33" ref="B40:B45">J40</f>
        <v>22</v>
      </c>
      <c r="C40" s="34">
        <f aca="true" t="shared" si="34" ref="C40:C45">R40</f>
        <v>9432</v>
      </c>
      <c r="D40" s="118">
        <f aca="true" t="shared" si="35" ref="D40:D45">K40*100/J40</f>
        <v>36.36363636363637</v>
      </c>
      <c r="E40" s="118">
        <f aca="true" t="shared" si="36" ref="E40:E45">M40*100/J40</f>
        <v>18.181818181818183</v>
      </c>
      <c r="F40" s="118">
        <f aca="true" t="shared" si="37" ref="F40:F45">O40*100/J40</f>
        <v>22.727272727272727</v>
      </c>
      <c r="G40" s="38"/>
      <c r="H40" s="107">
        <v>24</v>
      </c>
      <c r="I40" s="107">
        <v>2</v>
      </c>
      <c r="J40" s="109">
        <f t="shared" si="31"/>
        <v>22</v>
      </c>
      <c r="K40" s="107">
        <v>8</v>
      </c>
      <c r="L40" s="109">
        <f aca="true" t="shared" si="38" ref="L40:L45">J40-K40</f>
        <v>14</v>
      </c>
      <c r="M40" s="107">
        <v>4</v>
      </c>
      <c r="N40" s="107">
        <v>13</v>
      </c>
      <c r="O40" s="109">
        <f aca="true" t="shared" si="39" ref="O40:O45">J40-M40-N40</f>
        <v>5</v>
      </c>
      <c r="P40" s="107">
        <v>10396</v>
      </c>
      <c r="Q40" s="40">
        <v>964</v>
      </c>
      <c r="R40" s="26">
        <f aca="true" t="shared" si="40" ref="R40:R45">P40-Q40</f>
        <v>9432</v>
      </c>
    </row>
    <row r="41" spans="1:18" ht="12.75">
      <c r="A41" s="69" t="s">
        <v>344</v>
      </c>
      <c r="B41" s="34">
        <f t="shared" si="33"/>
        <v>9</v>
      </c>
      <c r="C41" s="34">
        <f t="shared" si="34"/>
        <v>3534</v>
      </c>
      <c r="D41" s="118">
        <f t="shared" si="35"/>
        <v>33.333333333333336</v>
      </c>
      <c r="E41" s="118">
        <f t="shared" si="36"/>
        <v>11.11111111111111</v>
      </c>
      <c r="F41" s="118">
        <f t="shared" si="37"/>
        <v>11.11111111111111</v>
      </c>
      <c r="G41" s="38"/>
      <c r="H41" s="107">
        <v>11</v>
      </c>
      <c r="I41" s="107">
        <v>2</v>
      </c>
      <c r="J41" s="109">
        <f aca="true" t="shared" si="41" ref="J41:J47">H41-I41</f>
        <v>9</v>
      </c>
      <c r="K41" s="107">
        <v>3</v>
      </c>
      <c r="L41" s="109">
        <f t="shared" si="38"/>
        <v>6</v>
      </c>
      <c r="M41" s="107">
        <v>1</v>
      </c>
      <c r="N41" s="107">
        <v>7</v>
      </c>
      <c r="O41" s="109">
        <f t="shared" si="39"/>
        <v>1</v>
      </c>
      <c r="P41" s="107">
        <v>3866</v>
      </c>
      <c r="Q41" s="40">
        <v>332</v>
      </c>
      <c r="R41" s="26">
        <f t="shared" si="40"/>
        <v>3534</v>
      </c>
    </row>
    <row r="42" spans="1:18" ht="12.75">
      <c r="A42" s="69" t="s">
        <v>345</v>
      </c>
      <c r="B42" s="34">
        <f t="shared" si="33"/>
        <v>16</v>
      </c>
      <c r="C42" s="34">
        <f t="shared" si="34"/>
        <v>4396</v>
      </c>
      <c r="D42" s="118">
        <f t="shared" si="35"/>
        <v>37.5</v>
      </c>
      <c r="E42" s="118">
        <f t="shared" si="36"/>
        <v>43.75</v>
      </c>
      <c r="F42" s="118">
        <f t="shared" si="37"/>
        <v>31.25</v>
      </c>
      <c r="G42" s="38"/>
      <c r="H42" s="107">
        <v>17</v>
      </c>
      <c r="I42" s="107">
        <v>1</v>
      </c>
      <c r="J42" s="109">
        <f t="shared" si="41"/>
        <v>16</v>
      </c>
      <c r="K42" s="107">
        <v>6</v>
      </c>
      <c r="L42" s="109">
        <f t="shared" si="38"/>
        <v>10</v>
      </c>
      <c r="M42" s="107">
        <v>7</v>
      </c>
      <c r="N42" s="107">
        <v>4</v>
      </c>
      <c r="O42" s="109">
        <f t="shared" si="39"/>
        <v>5</v>
      </c>
      <c r="P42" s="107">
        <v>4624</v>
      </c>
      <c r="Q42" s="40">
        <v>228</v>
      </c>
      <c r="R42" s="26">
        <f t="shared" si="40"/>
        <v>4396</v>
      </c>
    </row>
    <row r="43" spans="1:18" ht="12.75">
      <c r="A43" s="69" t="s">
        <v>349</v>
      </c>
      <c r="B43" s="34">
        <f t="shared" si="33"/>
        <v>13</v>
      </c>
      <c r="C43" s="34">
        <f t="shared" si="34"/>
        <v>3121</v>
      </c>
      <c r="D43" s="118">
        <f t="shared" si="35"/>
        <v>46.15384615384615</v>
      </c>
      <c r="E43" s="118">
        <f t="shared" si="36"/>
        <v>38.46153846153846</v>
      </c>
      <c r="F43" s="118">
        <f t="shared" si="37"/>
        <v>15.384615384615385</v>
      </c>
      <c r="G43" s="38"/>
      <c r="H43" s="107">
        <v>14</v>
      </c>
      <c r="I43" s="107">
        <v>1</v>
      </c>
      <c r="J43" s="109">
        <f>H43-I43</f>
        <v>13</v>
      </c>
      <c r="K43" s="107">
        <v>6</v>
      </c>
      <c r="L43" s="109">
        <f>J43-K43</f>
        <v>7</v>
      </c>
      <c r="M43" s="107">
        <f>3+2</f>
        <v>5</v>
      </c>
      <c r="N43" s="107">
        <f>2+4</f>
        <v>6</v>
      </c>
      <c r="O43" s="109">
        <f>J43-M43-N43</f>
        <v>2</v>
      </c>
      <c r="P43" s="107">
        <v>3696</v>
      </c>
      <c r="Q43" s="40">
        <v>575</v>
      </c>
      <c r="R43" s="26">
        <f t="shared" si="40"/>
        <v>3121</v>
      </c>
    </row>
    <row r="44" spans="1:18" ht="12.75">
      <c r="A44" s="69" t="s">
        <v>351</v>
      </c>
      <c r="B44" s="34">
        <f t="shared" si="33"/>
        <v>26</v>
      </c>
      <c r="C44" s="34">
        <f t="shared" si="34"/>
        <v>6452</v>
      </c>
      <c r="D44" s="118">
        <f t="shared" si="35"/>
        <v>46.15384615384615</v>
      </c>
      <c r="E44" s="118">
        <f t="shared" si="36"/>
        <v>30.76923076923077</v>
      </c>
      <c r="F44" s="118">
        <f t="shared" si="37"/>
        <v>19.23076923076923</v>
      </c>
      <c r="G44" s="38"/>
      <c r="H44" s="107">
        <v>26</v>
      </c>
      <c r="I44" s="107">
        <v>0</v>
      </c>
      <c r="J44" s="109">
        <f t="shared" si="41"/>
        <v>26</v>
      </c>
      <c r="K44" s="107">
        <v>12</v>
      </c>
      <c r="L44" s="109">
        <f t="shared" si="38"/>
        <v>14</v>
      </c>
      <c r="M44" s="107">
        <f>1+3+1+3</f>
        <v>8</v>
      </c>
      <c r="N44" s="107">
        <f>7+6</f>
        <v>13</v>
      </c>
      <c r="O44" s="109">
        <f t="shared" si="39"/>
        <v>5</v>
      </c>
      <c r="P44" s="107">
        <v>6452</v>
      </c>
      <c r="Q44" s="40">
        <v>0</v>
      </c>
      <c r="R44" s="26">
        <f t="shared" si="40"/>
        <v>6452</v>
      </c>
    </row>
    <row r="45" spans="1:18" ht="12.75">
      <c r="A45" s="69" t="s">
        <v>352</v>
      </c>
      <c r="B45" s="34">
        <f t="shared" si="33"/>
        <v>24</v>
      </c>
      <c r="C45" s="34">
        <f t="shared" si="34"/>
        <v>4990</v>
      </c>
      <c r="D45" s="118">
        <f t="shared" si="35"/>
        <v>41.666666666666664</v>
      </c>
      <c r="E45" s="118">
        <f t="shared" si="36"/>
        <v>29.166666666666668</v>
      </c>
      <c r="F45" s="118">
        <f t="shared" si="37"/>
        <v>41.666666666666664</v>
      </c>
      <c r="G45" s="38"/>
      <c r="H45" s="107">
        <v>25</v>
      </c>
      <c r="I45" s="107">
        <v>1</v>
      </c>
      <c r="J45" s="109">
        <f t="shared" si="41"/>
        <v>24</v>
      </c>
      <c r="K45" s="107">
        <v>10</v>
      </c>
      <c r="L45" s="109">
        <f t="shared" si="38"/>
        <v>14</v>
      </c>
      <c r="M45" s="107">
        <f>4+3</f>
        <v>7</v>
      </c>
      <c r="N45" s="107">
        <f>2+5</f>
        <v>7</v>
      </c>
      <c r="O45" s="109">
        <f t="shared" si="39"/>
        <v>10</v>
      </c>
      <c r="P45" s="107">
        <v>5838</v>
      </c>
      <c r="Q45" s="40">
        <v>848</v>
      </c>
      <c r="R45" s="26">
        <f t="shared" si="40"/>
        <v>4990</v>
      </c>
    </row>
    <row r="46" spans="1:18" ht="12.75">
      <c r="A46" s="69" t="s">
        <v>353</v>
      </c>
      <c r="B46" s="34">
        <f>J46</f>
        <v>23</v>
      </c>
      <c r="C46" s="34">
        <f>R46</f>
        <v>4461</v>
      </c>
      <c r="D46" s="118">
        <f>K46*100/J46</f>
        <v>39.130434782608695</v>
      </c>
      <c r="E46" s="118">
        <f aca="true" t="shared" si="42" ref="E46:E51">M46*100/J46</f>
        <v>17.391304347826086</v>
      </c>
      <c r="F46" s="118">
        <f aca="true" t="shared" si="43" ref="F46:F51">O46*100/J46</f>
        <v>34.78260869565217</v>
      </c>
      <c r="G46" s="38"/>
      <c r="H46" s="107">
        <v>23</v>
      </c>
      <c r="I46" s="107">
        <v>0</v>
      </c>
      <c r="J46" s="109">
        <f t="shared" si="41"/>
        <v>23</v>
      </c>
      <c r="K46" s="107">
        <v>9</v>
      </c>
      <c r="L46" s="109">
        <f aca="true" t="shared" si="44" ref="L46:L51">J46-K46</f>
        <v>14</v>
      </c>
      <c r="M46" s="107">
        <f>3+1</f>
        <v>4</v>
      </c>
      <c r="N46" s="107">
        <f>4+7</f>
        <v>11</v>
      </c>
      <c r="O46" s="109">
        <f>J46-M46-N46</f>
        <v>8</v>
      </c>
      <c r="P46" s="107">
        <v>4461</v>
      </c>
      <c r="Q46" s="40">
        <v>0</v>
      </c>
      <c r="R46" s="26">
        <f aca="true" t="shared" si="45" ref="R46:R51">P46-Q46</f>
        <v>4461</v>
      </c>
    </row>
    <row r="47" spans="1:18" ht="12.75">
      <c r="A47" s="69" t="s">
        <v>354</v>
      </c>
      <c r="B47" s="34">
        <f>J47</f>
        <v>19</v>
      </c>
      <c r="C47" s="34">
        <f>R47</f>
        <v>5439</v>
      </c>
      <c r="D47" s="118">
        <f>K47*100/J47</f>
        <v>63.1578947368421</v>
      </c>
      <c r="E47" s="118">
        <f t="shared" si="42"/>
        <v>36.8421052631579</v>
      </c>
      <c r="F47" s="118">
        <f t="shared" si="43"/>
        <v>31.57894736842105</v>
      </c>
      <c r="G47" s="38"/>
      <c r="H47" s="107">
        <v>20</v>
      </c>
      <c r="I47" s="107">
        <v>1</v>
      </c>
      <c r="J47" s="109">
        <f t="shared" si="41"/>
        <v>19</v>
      </c>
      <c r="K47" s="107">
        <v>12</v>
      </c>
      <c r="L47" s="109">
        <f t="shared" si="44"/>
        <v>7</v>
      </c>
      <c r="M47" s="107">
        <f>1+5+1</f>
        <v>7</v>
      </c>
      <c r="N47" s="107">
        <f>3+3</f>
        <v>6</v>
      </c>
      <c r="O47" s="109">
        <f>J47-M47-N47</f>
        <v>6</v>
      </c>
      <c r="P47" s="107">
        <v>5676</v>
      </c>
      <c r="Q47" s="40">
        <v>237</v>
      </c>
      <c r="R47" s="26">
        <f t="shared" si="45"/>
        <v>5439</v>
      </c>
    </row>
    <row r="48" spans="1:18" ht="12.75">
      <c r="A48" s="69" t="s">
        <v>355</v>
      </c>
      <c r="B48" s="34">
        <f>J48</f>
        <v>14</v>
      </c>
      <c r="C48" s="34">
        <f>R48</f>
        <v>4654</v>
      </c>
      <c r="D48" s="118">
        <f>K48*100/J48</f>
        <v>35.714285714285715</v>
      </c>
      <c r="E48" s="118">
        <f t="shared" si="42"/>
        <v>50</v>
      </c>
      <c r="F48" s="118">
        <f t="shared" si="43"/>
        <v>28.571428571428573</v>
      </c>
      <c r="G48" s="38"/>
      <c r="H48" s="107">
        <v>17</v>
      </c>
      <c r="I48" s="107">
        <v>3</v>
      </c>
      <c r="J48" s="109">
        <f>H48-I48</f>
        <v>14</v>
      </c>
      <c r="K48" s="107">
        <v>5</v>
      </c>
      <c r="L48" s="109">
        <f t="shared" si="44"/>
        <v>9</v>
      </c>
      <c r="M48" s="107">
        <f>4+3</f>
        <v>7</v>
      </c>
      <c r="N48" s="107">
        <f>3</f>
        <v>3</v>
      </c>
      <c r="O48" s="109">
        <f>J48-M48-N48</f>
        <v>4</v>
      </c>
      <c r="P48" s="107">
        <v>6066</v>
      </c>
      <c r="Q48" s="40">
        <v>1412</v>
      </c>
      <c r="R48" s="26">
        <f t="shared" si="45"/>
        <v>4654</v>
      </c>
    </row>
    <row r="49" spans="1:18" ht="12.75">
      <c r="A49" s="69" t="s">
        <v>356</v>
      </c>
      <c r="B49" s="34">
        <f>J49</f>
        <v>13</v>
      </c>
      <c r="C49" s="34">
        <f>R49</f>
        <v>3399</v>
      </c>
      <c r="D49" s="118">
        <f>K49*100/J49</f>
        <v>53.84615384615385</v>
      </c>
      <c r="E49" s="118">
        <f t="shared" si="42"/>
        <v>53.84615384615385</v>
      </c>
      <c r="F49" s="118">
        <f t="shared" si="43"/>
        <v>15.384615384615385</v>
      </c>
      <c r="G49" s="38"/>
      <c r="H49" s="107">
        <v>13</v>
      </c>
      <c r="I49" s="107">
        <v>0</v>
      </c>
      <c r="J49" s="109">
        <f>H49-I49</f>
        <v>13</v>
      </c>
      <c r="K49" s="107">
        <v>7</v>
      </c>
      <c r="L49" s="109">
        <f t="shared" si="44"/>
        <v>6</v>
      </c>
      <c r="M49" s="107">
        <f>5+2</f>
        <v>7</v>
      </c>
      <c r="N49" s="107">
        <f>2+2</f>
        <v>4</v>
      </c>
      <c r="O49" s="109">
        <f>J49-M49-N49</f>
        <v>2</v>
      </c>
      <c r="P49" s="107">
        <v>3399</v>
      </c>
      <c r="Q49" s="40">
        <v>0</v>
      </c>
      <c r="R49" s="26">
        <f t="shared" si="45"/>
        <v>3399</v>
      </c>
    </row>
    <row r="50" spans="1:18" ht="12.75">
      <c r="A50" s="69" t="s">
        <v>357</v>
      </c>
      <c r="B50" s="34">
        <f>J50</f>
        <v>22</v>
      </c>
      <c r="C50" s="34">
        <f>R50</f>
        <v>6917</v>
      </c>
      <c r="D50" s="118">
        <f>K50*100/J50</f>
        <v>50</v>
      </c>
      <c r="E50" s="118">
        <f t="shared" si="42"/>
        <v>18.181818181818183</v>
      </c>
      <c r="F50" s="118">
        <f t="shared" si="43"/>
        <v>45.45454545454545</v>
      </c>
      <c r="G50" s="38"/>
      <c r="H50" s="107">
        <v>23</v>
      </c>
      <c r="I50" s="107">
        <v>1</v>
      </c>
      <c r="J50" s="109">
        <f>H50-I50</f>
        <v>22</v>
      </c>
      <c r="K50" s="107">
        <v>11</v>
      </c>
      <c r="L50" s="109">
        <f t="shared" si="44"/>
        <v>11</v>
      </c>
      <c r="M50" s="107">
        <f>4</f>
        <v>4</v>
      </c>
      <c r="N50" s="107">
        <f>3+5</f>
        <v>8</v>
      </c>
      <c r="O50" s="109">
        <f>J50-M50-N50</f>
        <v>10</v>
      </c>
      <c r="P50" s="107">
        <v>7824</v>
      </c>
      <c r="Q50" s="40">
        <v>907</v>
      </c>
      <c r="R50" s="26">
        <f t="shared" si="45"/>
        <v>6917</v>
      </c>
    </row>
    <row r="51" spans="1:18" ht="12.75">
      <c r="A51" s="69" t="s">
        <v>360</v>
      </c>
      <c r="B51" s="34">
        <f aca="true" t="shared" si="46" ref="B51:B56">J51</f>
        <v>12</v>
      </c>
      <c r="C51" s="34">
        <f aca="true" t="shared" si="47" ref="C51:C56">R51</f>
        <v>3167</v>
      </c>
      <c r="D51" s="118">
        <f aca="true" t="shared" si="48" ref="D51:D56">K51*100/J51</f>
        <v>41.666666666666664</v>
      </c>
      <c r="E51" s="118">
        <f t="shared" si="42"/>
        <v>41.666666666666664</v>
      </c>
      <c r="F51" s="118">
        <f t="shared" si="43"/>
        <v>25</v>
      </c>
      <c r="G51" s="38"/>
      <c r="H51" s="107">
        <v>12</v>
      </c>
      <c r="I51" s="107">
        <v>0</v>
      </c>
      <c r="J51" s="109">
        <f>H51-I51</f>
        <v>12</v>
      </c>
      <c r="K51" s="107">
        <v>5</v>
      </c>
      <c r="L51" s="109">
        <f t="shared" si="44"/>
        <v>7</v>
      </c>
      <c r="M51" s="107">
        <f>3+2</f>
        <v>5</v>
      </c>
      <c r="N51" s="107">
        <f>2+2</f>
        <v>4</v>
      </c>
      <c r="O51" s="109">
        <f aca="true" t="shared" si="49" ref="O51:O56">J51-M51-N51</f>
        <v>3</v>
      </c>
      <c r="P51" s="107">
        <v>3167</v>
      </c>
      <c r="Q51" s="40">
        <v>0</v>
      </c>
      <c r="R51" s="26">
        <f t="shared" si="45"/>
        <v>3167</v>
      </c>
    </row>
    <row r="52" spans="1:18" ht="12.75">
      <c r="A52" s="69" t="s">
        <v>361</v>
      </c>
      <c r="B52" s="34">
        <f t="shared" si="46"/>
        <v>22</v>
      </c>
      <c r="C52" s="34">
        <f t="shared" si="47"/>
        <v>7543</v>
      </c>
      <c r="D52" s="118">
        <f t="shared" si="48"/>
        <v>50</v>
      </c>
      <c r="E52" s="118">
        <f>M52*100/J52</f>
        <v>40.90909090909091</v>
      </c>
      <c r="F52" s="118">
        <f>O52*100/J52</f>
        <v>36.36363636363637</v>
      </c>
      <c r="G52" s="38"/>
      <c r="H52" s="107">
        <v>23</v>
      </c>
      <c r="I52" s="107">
        <v>1</v>
      </c>
      <c r="J52" s="109">
        <f>H52-I52</f>
        <v>22</v>
      </c>
      <c r="K52" s="107">
        <v>11</v>
      </c>
      <c r="L52" s="109">
        <f aca="true" t="shared" si="50" ref="L52:L57">J52-K52</f>
        <v>11</v>
      </c>
      <c r="M52" s="107">
        <f>7+2</f>
        <v>9</v>
      </c>
      <c r="N52" s="107">
        <f>3+2</f>
        <v>5</v>
      </c>
      <c r="O52" s="109">
        <f t="shared" si="49"/>
        <v>8</v>
      </c>
      <c r="P52" s="107">
        <v>7742</v>
      </c>
      <c r="Q52" s="40">
        <v>199</v>
      </c>
      <c r="R52" s="26">
        <f>P52-Q52</f>
        <v>7543</v>
      </c>
    </row>
    <row r="53" spans="1:18" ht="12.75">
      <c r="A53" s="69" t="s">
        <v>362</v>
      </c>
      <c r="B53" s="34">
        <f t="shared" si="46"/>
        <v>19</v>
      </c>
      <c r="C53" s="34">
        <f t="shared" si="47"/>
        <v>5114</v>
      </c>
      <c r="D53" s="118">
        <f t="shared" si="48"/>
        <v>26.31578947368421</v>
      </c>
      <c r="E53" s="118">
        <f>M53*100/J53</f>
        <v>15.789473684210526</v>
      </c>
      <c r="F53" s="118">
        <f>O53*100/J53</f>
        <v>42.10526315789474</v>
      </c>
      <c r="G53" s="38"/>
      <c r="H53" s="107">
        <v>19</v>
      </c>
      <c r="I53" s="107">
        <v>0</v>
      </c>
      <c r="J53" s="109">
        <f aca="true" t="shared" si="51" ref="J53:J58">H53-I53</f>
        <v>19</v>
      </c>
      <c r="K53" s="107">
        <v>5</v>
      </c>
      <c r="L53" s="109">
        <f t="shared" si="50"/>
        <v>14</v>
      </c>
      <c r="M53" s="107">
        <f>2+1</f>
        <v>3</v>
      </c>
      <c r="N53" s="107">
        <f>3+5</f>
        <v>8</v>
      </c>
      <c r="O53" s="109">
        <f t="shared" si="49"/>
        <v>8</v>
      </c>
      <c r="P53" s="107">
        <v>5114</v>
      </c>
      <c r="Q53" s="40">
        <v>0</v>
      </c>
      <c r="R53" s="26">
        <f>P53-Q53</f>
        <v>5114</v>
      </c>
    </row>
    <row r="54" spans="1:18" ht="12.75">
      <c r="A54" s="69" t="s">
        <v>367</v>
      </c>
      <c r="B54" s="34">
        <f t="shared" si="46"/>
        <v>16</v>
      </c>
      <c r="C54" s="34">
        <f t="shared" si="47"/>
        <v>5471</v>
      </c>
      <c r="D54" s="118">
        <f t="shared" si="48"/>
        <v>43.75</v>
      </c>
      <c r="E54" s="118">
        <f>M54*100/J54</f>
        <v>31.25</v>
      </c>
      <c r="F54" s="118">
        <f>O54*100/J54</f>
        <v>37.5</v>
      </c>
      <c r="G54" s="38"/>
      <c r="H54" s="107">
        <v>17</v>
      </c>
      <c r="I54" s="107">
        <v>1</v>
      </c>
      <c r="J54" s="109">
        <f t="shared" si="51"/>
        <v>16</v>
      </c>
      <c r="K54" s="107">
        <v>7</v>
      </c>
      <c r="L54" s="109">
        <f t="shared" si="50"/>
        <v>9</v>
      </c>
      <c r="M54" s="107">
        <f>4+1</f>
        <v>5</v>
      </c>
      <c r="N54" s="107">
        <f>2+3</f>
        <v>5</v>
      </c>
      <c r="O54" s="109">
        <f t="shared" si="49"/>
        <v>6</v>
      </c>
      <c r="P54" s="107">
        <v>5870</v>
      </c>
      <c r="Q54" s="40">
        <v>399</v>
      </c>
      <c r="R54" s="26">
        <f>P54-Q54</f>
        <v>5471</v>
      </c>
    </row>
    <row r="55" spans="1:18" ht="12.75">
      <c r="A55" s="69" t="s">
        <v>368</v>
      </c>
      <c r="B55" s="34">
        <f t="shared" si="46"/>
        <v>19</v>
      </c>
      <c r="C55" s="34">
        <f t="shared" si="47"/>
        <v>5753</v>
      </c>
      <c r="D55" s="118">
        <f t="shared" si="48"/>
        <v>31.57894736842105</v>
      </c>
      <c r="E55" s="118">
        <f>M55*100/J55</f>
        <v>31.57894736842105</v>
      </c>
      <c r="F55" s="118">
        <f>O55*100/J55</f>
        <v>42.10526315789474</v>
      </c>
      <c r="G55" s="38"/>
      <c r="H55" s="107">
        <v>19</v>
      </c>
      <c r="I55" s="107">
        <v>0</v>
      </c>
      <c r="J55" s="109">
        <f t="shared" si="51"/>
        <v>19</v>
      </c>
      <c r="K55" s="107">
        <v>6</v>
      </c>
      <c r="L55" s="109">
        <f t="shared" si="50"/>
        <v>13</v>
      </c>
      <c r="M55" s="107">
        <f>4+2</f>
        <v>6</v>
      </c>
      <c r="N55" s="107">
        <f>1+4</f>
        <v>5</v>
      </c>
      <c r="O55" s="109">
        <f t="shared" si="49"/>
        <v>8</v>
      </c>
      <c r="P55" s="107">
        <v>5753</v>
      </c>
      <c r="Q55" s="40">
        <v>0</v>
      </c>
      <c r="R55" s="26">
        <f>P55-Q55</f>
        <v>5753</v>
      </c>
    </row>
    <row r="56" spans="1:18" ht="12.75">
      <c r="A56" s="69" t="s">
        <v>370</v>
      </c>
      <c r="B56" s="34">
        <f t="shared" si="46"/>
        <v>49</v>
      </c>
      <c r="C56" s="34">
        <f t="shared" si="47"/>
        <v>14881</v>
      </c>
      <c r="D56" s="118">
        <f t="shared" si="48"/>
        <v>36.734693877551024</v>
      </c>
      <c r="E56" s="118">
        <f>M56*100/J56</f>
        <v>42.857142857142854</v>
      </c>
      <c r="F56" s="118">
        <f>O56*100/J56</f>
        <v>32.6530612244898</v>
      </c>
      <c r="G56" s="38"/>
      <c r="H56" s="107">
        <v>51</v>
      </c>
      <c r="I56" s="107">
        <v>2</v>
      </c>
      <c r="J56" s="109">
        <f t="shared" si="51"/>
        <v>49</v>
      </c>
      <c r="K56" s="107">
        <v>18</v>
      </c>
      <c r="L56" s="109">
        <f t="shared" si="50"/>
        <v>31</v>
      </c>
      <c r="M56" s="107">
        <f>2+11+8</f>
        <v>21</v>
      </c>
      <c r="N56" s="107">
        <f>4+8</f>
        <v>12</v>
      </c>
      <c r="O56" s="109">
        <f t="shared" si="49"/>
        <v>16</v>
      </c>
      <c r="P56" s="107">
        <v>15230</v>
      </c>
      <c r="Q56" s="40">
        <v>349</v>
      </c>
      <c r="R56" s="26">
        <f>P56-Q56</f>
        <v>14881</v>
      </c>
    </row>
    <row r="57" spans="1:18" ht="12.75">
      <c r="A57" s="69" t="s">
        <v>371</v>
      </c>
      <c r="B57" s="34">
        <f aca="true" t="shared" si="52" ref="B57:B68">J57</f>
        <v>25</v>
      </c>
      <c r="C57" s="34">
        <f aca="true" t="shared" si="53" ref="C57:C68">R57</f>
        <v>7511</v>
      </c>
      <c r="D57" s="118">
        <f aca="true" t="shared" si="54" ref="D57:D68">K57*100/J57</f>
        <v>32</v>
      </c>
      <c r="E57" s="118">
        <f aca="true" t="shared" si="55" ref="E57:E62">M57*100/J57</f>
        <v>16</v>
      </c>
      <c r="F57" s="118">
        <f aca="true" t="shared" si="56" ref="F57:F62">O57*100/J57</f>
        <v>36</v>
      </c>
      <c r="G57" s="38"/>
      <c r="H57" s="107">
        <v>25</v>
      </c>
      <c r="I57" s="107">
        <v>0</v>
      </c>
      <c r="J57" s="109">
        <f t="shared" si="51"/>
        <v>25</v>
      </c>
      <c r="K57" s="107">
        <v>8</v>
      </c>
      <c r="L57" s="109">
        <f t="shared" si="50"/>
        <v>17</v>
      </c>
      <c r="M57" s="107">
        <f>3+1</f>
        <v>4</v>
      </c>
      <c r="N57" s="107">
        <f>3+9</f>
        <v>12</v>
      </c>
      <c r="O57" s="109">
        <f aca="true" t="shared" si="57" ref="O57:O68">J57-M57-N57</f>
        <v>9</v>
      </c>
      <c r="P57" s="107">
        <v>7511</v>
      </c>
      <c r="Q57" s="40">
        <v>0</v>
      </c>
      <c r="R57" s="26">
        <f aca="true" t="shared" si="58" ref="R57:R62">P57-Q57</f>
        <v>7511</v>
      </c>
    </row>
    <row r="58" spans="1:18" ht="12.75">
      <c r="A58" s="69" t="s">
        <v>372</v>
      </c>
      <c r="B58" s="34">
        <f t="shared" si="52"/>
        <v>27</v>
      </c>
      <c r="C58" s="34">
        <f t="shared" si="53"/>
        <v>6808</v>
      </c>
      <c r="D58" s="118">
        <f t="shared" si="54"/>
        <v>55.55555555555556</v>
      </c>
      <c r="E58" s="118">
        <f t="shared" si="55"/>
        <v>33.333333333333336</v>
      </c>
      <c r="F58" s="118">
        <f t="shared" si="56"/>
        <v>29.62962962962963</v>
      </c>
      <c r="G58" s="38"/>
      <c r="H58" s="107">
        <v>28</v>
      </c>
      <c r="I58" s="107">
        <v>1</v>
      </c>
      <c r="J58" s="109">
        <f t="shared" si="51"/>
        <v>27</v>
      </c>
      <c r="K58" s="107">
        <v>15</v>
      </c>
      <c r="L58" s="109">
        <f aca="true" t="shared" si="59" ref="L58:L68">J58-K58</f>
        <v>12</v>
      </c>
      <c r="M58" s="107">
        <f>7+2</f>
        <v>9</v>
      </c>
      <c r="N58" s="107">
        <v>10</v>
      </c>
      <c r="O58" s="109">
        <f t="shared" si="57"/>
        <v>8</v>
      </c>
      <c r="P58" s="107">
        <v>7329</v>
      </c>
      <c r="Q58" s="40">
        <v>521</v>
      </c>
      <c r="R58" s="26">
        <f t="shared" si="58"/>
        <v>6808</v>
      </c>
    </row>
    <row r="59" spans="1:18" ht="12.75">
      <c r="A59" s="69" t="s">
        <v>374</v>
      </c>
      <c r="B59" s="34">
        <f t="shared" si="52"/>
        <v>30</v>
      </c>
      <c r="C59" s="34">
        <f t="shared" si="53"/>
        <v>8006</v>
      </c>
      <c r="D59" s="118">
        <f t="shared" si="54"/>
        <v>46.666666666666664</v>
      </c>
      <c r="E59" s="118">
        <f t="shared" si="55"/>
        <v>30</v>
      </c>
      <c r="F59" s="118">
        <f t="shared" si="56"/>
        <v>43.333333333333336</v>
      </c>
      <c r="G59" s="38"/>
      <c r="H59" s="107">
        <v>31</v>
      </c>
      <c r="I59" s="107">
        <v>1</v>
      </c>
      <c r="J59" s="109">
        <f aca="true" t="shared" si="60" ref="J59:J68">H59-I59</f>
        <v>30</v>
      </c>
      <c r="K59" s="107">
        <v>14</v>
      </c>
      <c r="L59" s="109">
        <f t="shared" si="59"/>
        <v>16</v>
      </c>
      <c r="M59" s="107">
        <f>7+2</f>
        <v>9</v>
      </c>
      <c r="N59" s="107">
        <f>3+5</f>
        <v>8</v>
      </c>
      <c r="O59" s="109">
        <f t="shared" si="57"/>
        <v>13</v>
      </c>
      <c r="P59" s="107">
        <v>8016</v>
      </c>
      <c r="Q59" s="40">
        <v>10</v>
      </c>
      <c r="R59" s="26">
        <f t="shared" si="58"/>
        <v>8006</v>
      </c>
    </row>
    <row r="60" spans="1:18" ht="12.75">
      <c r="A60" s="69" t="s">
        <v>375</v>
      </c>
      <c r="B60" s="34">
        <f t="shared" si="52"/>
        <v>12</v>
      </c>
      <c r="C60" s="34">
        <f t="shared" si="53"/>
        <v>2319</v>
      </c>
      <c r="D60" s="118">
        <f t="shared" si="54"/>
        <v>58.333333333333336</v>
      </c>
      <c r="E60" s="118">
        <f t="shared" si="55"/>
        <v>66.66666666666667</v>
      </c>
      <c r="F60" s="118">
        <f t="shared" si="56"/>
        <v>16.666666666666668</v>
      </c>
      <c r="G60" s="38"/>
      <c r="H60" s="107">
        <v>12</v>
      </c>
      <c r="I60" s="107">
        <v>0</v>
      </c>
      <c r="J60" s="109">
        <f t="shared" si="60"/>
        <v>12</v>
      </c>
      <c r="K60" s="107">
        <v>7</v>
      </c>
      <c r="L60" s="109">
        <f t="shared" si="59"/>
        <v>5</v>
      </c>
      <c r="M60" s="107">
        <f>6+2</f>
        <v>8</v>
      </c>
      <c r="N60" s="107">
        <f>1+1</f>
        <v>2</v>
      </c>
      <c r="O60" s="109">
        <f t="shared" si="57"/>
        <v>2</v>
      </c>
      <c r="P60" s="107">
        <v>2319</v>
      </c>
      <c r="Q60" s="40">
        <v>0</v>
      </c>
      <c r="R60" s="26">
        <f t="shared" si="58"/>
        <v>2319</v>
      </c>
    </row>
    <row r="61" spans="1:18" ht="12.75">
      <c r="A61" s="69" t="s">
        <v>376</v>
      </c>
      <c r="B61" s="34">
        <f t="shared" si="52"/>
        <v>26</v>
      </c>
      <c r="C61" s="34">
        <f t="shared" si="53"/>
        <v>5963</v>
      </c>
      <c r="D61" s="118">
        <f t="shared" si="54"/>
        <v>42.30769230769231</v>
      </c>
      <c r="E61" s="118">
        <f t="shared" si="55"/>
        <v>50</v>
      </c>
      <c r="F61" s="118">
        <f t="shared" si="56"/>
        <v>26.923076923076923</v>
      </c>
      <c r="G61" s="38"/>
      <c r="H61" s="107">
        <v>28</v>
      </c>
      <c r="I61" s="107">
        <v>2</v>
      </c>
      <c r="J61" s="109">
        <f t="shared" si="60"/>
        <v>26</v>
      </c>
      <c r="K61" s="107">
        <v>11</v>
      </c>
      <c r="L61" s="109">
        <f t="shared" si="59"/>
        <v>15</v>
      </c>
      <c r="M61" s="107">
        <f>5+8</f>
        <v>13</v>
      </c>
      <c r="N61" s="107">
        <f>3+3</f>
        <v>6</v>
      </c>
      <c r="O61" s="109">
        <f t="shared" si="57"/>
        <v>7</v>
      </c>
      <c r="P61" s="107">
        <v>6813</v>
      </c>
      <c r="Q61" s="40">
        <v>850</v>
      </c>
      <c r="R61" s="26">
        <f t="shared" si="58"/>
        <v>5963</v>
      </c>
    </row>
    <row r="62" spans="1:18" ht="12.75">
      <c r="A62" s="69" t="s">
        <v>377</v>
      </c>
      <c r="B62" s="34">
        <f aca="true" t="shared" si="61" ref="B62:B67">J62</f>
        <v>13</v>
      </c>
      <c r="C62" s="34">
        <f aca="true" t="shared" si="62" ref="C62:C67">R62</f>
        <v>2167</v>
      </c>
      <c r="D62" s="118">
        <f aca="true" t="shared" si="63" ref="D62:D67">K62*100/J62</f>
        <v>46.15384615384615</v>
      </c>
      <c r="E62" s="118">
        <f t="shared" si="55"/>
        <v>53.84615384615385</v>
      </c>
      <c r="F62" s="118">
        <f t="shared" si="56"/>
        <v>38.46153846153846</v>
      </c>
      <c r="G62" s="38"/>
      <c r="H62" s="107">
        <v>14</v>
      </c>
      <c r="I62" s="107">
        <v>1</v>
      </c>
      <c r="J62" s="109">
        <f t="shared" si="60"/>
        <v>13</v>
      </c>
      <c r="K62" s="107">
        <v>6</v>
      </c>
      <c r="L62" s="109">
        <f t="shared" si="59"/>
        <v>7</v>
      </c>
      <c r="M62" s="107">
        <f>3+4</f>
        <v>7</v>
      </c>
      <c r="N62" s="107">
        <f>1+0</f>
        <v>1</v>
      </c>
      <c r="O62" s="109">
        <f aca="true" t="shared" si="64" ref="O62:O67">J62-M62-N62</f>
        <v>5</v>
      </c>
      <c r="P62" s="107">
        <v>2412</v>
      </c>
      <c r="Q62" s="40">
        <v>245</v>
      </c>
      <c r="R62" s="26">
        <f t="shared" si="58"/>
        <v>2167</v>
      </c>
    </row>
    <row r="63" spans="1:18" ht="12.75">
      <c r="A63" s="69" t="s">
        <v>378</v>
      </c>
      <c r="B63" s="34">
        <f t="shared" si="61"/>
        <v>16</v>
      </c>
      <c r="C63" s="34">
        <f t="shared" si="62"/>
        <v>5855</v>
      </c>
      <c r="D63" s="118">
        <f t="shared" si="63"/>
        <v>56.25</v>
      </c>
      <c r="E63" s="118">
        <f aca="true" t="shared" si="65" ref="E63:E68">M63*100/J63</f>
        <v>25</v>
      </c>
      <c r="F63" s="118">
        <f aca="true" t="shared" si="66" ref="F63:F68">O63*100/J63</f>
        <v>31.25</v>
      </c>
      <c r="G63" s="38"/>
      <c r="H63" s="107">
        <v>17</v>
      </c>
      <c r="I63" s="107">
        <v>1</v>
      </c>
      <c r="J63" s="109">
        <f t="shared" si="60"/>
        <v>16</v>
      </c>
      <c r="K63" s="107">
        <v>9</v>
      </c>
      <c r="L63" s="109">
        <f>J63-K63</f>
        <v>7</v>
      </c>
      <c r="M63" s="107">
        <f>4</f>
        <v>4</v>
      </c>
      <c r="N63" s="107">
        <f>3+4</f>
        <v>7</v>
      </c>
      <c r="O63" s="109">
        <f t="shared" si="64"/>
        <v>5</v>
      </c>
      <c r="P63" s="107">
        <v>5856</v>
      </c>
      <c r="Q63" s="40">
        <v>1</v>
      </c>
      <c r="R63" s="26">
        <f aca="true" t="shared" si="67" ref="R63:R68">P63-Q63</f>
        <v>5855</v>
      </c>
    </row>
    <row r="64" spans="1:18" ht="12.75">
      <c r="A64" s="69" t="s">
        <v>379</v>
      </c>
      <c r="B64" s="34">
        <f t="shared" si="61"/>
        <v>33</v>
      </c>
      <c r="C64" s="34">
        <f t="shared" si="62"/>
        <v>7781</v>
      </c>
      <c r="D64" s="118">
        <f t="shared" si="63"/>
        <v>39.39393939393939</v>
      </c>
      <c r="E64" s="118">
        <f t="shared" si="65"/>
        <v>63.63636363636363</v>
      </c>
      <c r="F64" s="118">
        <f t="shared" si="66"/>
        <v>18.181818181818183</v>
      </c>
      <c r="G64" s="38"/>
      <c r="H64" s="107">
        <v>35</v>
      </c>
      <c r="I64" s="107">
        <v>2</v>
      </c>
      <c r="J64" s="109">
        <f>H64-I64</f>
        <v>33</v>
      </c>
      <c r="K64" s="107">
        <v>13</v>
      </c>
      <c r="L64" s="109">
        <f>J64-K64</f>
        <v>20</v>
      </c>
      <c r="M64" s="107">
        <f>11+10</f>
        <v>21</v>
      </c>
      <c r="N64" s="107">
        <f>1+5</f>
        <v>6</v>
      </c>
      <c r="O64" s="109">
        <f t="shared" si="64"/>
        <v>6</v>
      </c>
      <c r="P64" s="107">
        <v>8481</v>
      </c>
      <c r="Q64" s="40">
        <v>700</v>
      </c>
      <c r="R64" s="26">
        <f t="shared" si="67"/>
        <v>7781</v>
      </c>
    </row>
    <row r="65" spans="1:18" ht="12.75">
      <c r="A65" s="69" t="s">
        <v>380</v>
      </c>
      <c r="B65" s="34">
        <f t="shared" si="61"/>
        <v>17</v>
      </c>
      <c r="C65" s="34">
        <f t="shared" si="62"/>
        <v>3237</v>
      </c>
      <c r="D65" s="118">
        <f t="shared" si="63"/>
        <v>47.05882352941177</v>
      </c>
      <c r="E65" s="118">
        <f t="shared" si="65"/>
        <v>47.05882352941177</v>
      </c>
      <c r="F65" s="118">
        <f t="shared" si="66"/>
        <v>23.529411764705884</v>
      </c>
      <c r="G65" s="38"/>
      <c r="H65" s="107">
        <v>18</v>
      </c>
      <c r="I65" s="107">
        <v>1</v>
      </c>
      <c r="J65" s="109">
        <f>H65-I65</f>
        <v>17</v>
      </c>
      <c r="K65" s="107">
        <v>8</v>
      </c>
      <c r="L65" s="109">
        <f>J65-K65</f>
        <v>9</v>
      </c>
      <c r="M65" s="107">
        <f>6+2</f>
        <v>8</v>
      </c>
      <c r="N65" s="107">
        <f>2+3</f>
        <v>5</v>
      </c>
      <c r="O65" s="109">
        <f t="shared" si="64"/>
        <v>4</v>
      </c>
      <c r="P65" s="107">
        <v>3337</v>
      </c>
      <c r="Q65" s="40">
        <v>100</v>
      </c>
      <c r="R65" s="26">
        <f t="shared" si="67"/>
        <v>3237</v>
      </c>
    </row>
    <row r="66" spans="1:18" ht="12.75">
      <c r="A66" s="69" t="s">
        <v>381</v>
      </c>
      <c r="B66" s="34">
        <f t="shared" si="61"/>
        <v>22</v>
      </c>
      <c r="C66" s="34">
        <f t="shared" si="62"/>
        <v>5334</v>
      </c>
      <c r="D66" s="118">
        <f t="shared" si="63"/>
        <v>50</v>
      </c>
      <c r="E66" s="118">
        <f t="shared" si="65"/>
        <v>31.818181818181817</v>
      </c>
      <c r="F66" s="118">
        <f t="shared" si="66"/>
        <v>36.36363636363637</v>
      </c>
      <c r="G66" s="38"/>
      <c r="H66" s="107">
        <v>22</v>
      </c>
      <c r="I66" s="107">
        <v>0</v>
      </c>
      <c r="J66" s="109">
        <f>H66-I66</f>
        <v>22</v>
      </c>
      <c r="K66" s="107">
        <v>11</v>
      </c>
      <c r="L66" s="109">
        <f>J66-K66</f>
        <v>11</v>
      </c>
      <c r="M66" s="107">
        <f>4+3</f>
        <v>7</v>
      </c>
      <c r="N66" s="107">
        <f>5+2</f>
        <v>7</v>
      </c>
      <c r="O66" s="109">
        <f t="shared" si="64"/>
        <v>8</v>
      </c>
      <c r="P66" s="107">
        <v>5334</v>
      </c>
      <c r="Q66" s="40">
        <v>0</v>
      </c>
      <c r="R66" s="26">
        <f t="shared" si="67"/>
        <v>5334</v>
      </c>
    </row>
    <row r="67" spans="1:18" ht="12.75">
      <c r="A67" s="69" t="s">
        <v>382</v>
      </c>
      <c r="B67" s="34">
        <f t="shared" si="61"/>
        <v>22</v>
      </c>
      <c r="C67" s="34">
        <f t="shared" si="62"/>
        <v>5334</v>
      </c>
      <c r="D67" s="118">
        <f t="shared" si="63"/>
        <v>54.54545454545455</v>
      </c>
      <c r="E67" s="118">
        <f t="shared" si="65"/>
        <v>31.818181818181817</v>
      </c>
      <c r="F67" s="118">
        <f t="shared" si="66"/>
        <v>36.36363636363637</v>
      </c>
      <c r="G67" s="38"/>
      <c r="H67" s="107">
        <v>22</v>
      </c>
      <c r="I67" s="107">
        <v>0</v>
      </c>
      <c r="J67" s="109">
        <f>H67-I67</f>
        <v>22</v>
      </c>
      <c r="K67" s="107">
        <v>12</v>
      </c>
      <c r="L67" s="109">
        <f>J67-K67</f>
        <v>10</v>
      </c>
      <c r="M67" s="107">
        <f>4+3</f>
        <v>7</v>
      </c>
      <c r="N67" s="107">
        <f>5+2</f>
        <v>7</v>
      </c>
      <c r="O67" s="109">
        <f t="shared" si="64"/>
        <v>8</v>
      </c>
      <c r="P67" s="107">
        <v>5334</v>
      </c>
      <c r="Q67" s="40">
        <v>0</v>
      </c>
      <c r="R67" s="26">
        <f t="shared" si="67"/>
        <v>5334</v>
      </c>
    </row>
    <row r="68" spans="1:18" ht="12.75">
      <c r="A68" s="38" t="s">
        <v>215</v>
      </c>
      <c r="B68" s="32">
        <f t="shared" si="52"/>
        <v>1171</v>
      </c>
      <c r="C68" s="32">
        <f t="shared" si="53"/>
        <v>315626</v>
      </c>
      <c r="D68" s="117">
        <f t="shared" si="54"/>
        <v>37.40392826643894</v>
      </c>
      <c r="E68" s="117">
        <f t="shared" si="65"/>
        <v>31.682322801024764</v>
      </c>
      <c r="F68" s="117">
        <f t="shared" si="66"/>
        <v>28.52263023057216</v>
      </c>
      <c r="G68" s="38"/>
      <c r="H68" s="109">
        <f>SUM(H8:H67)</f>
        <v>1241</v>
      </c>
      <c r="I68" s="109">
        <f>SUM(I8:I67)</f>
        <v>70</v>
      </c>
      <c r="J68" s="109">
        <f t="shared" si="60"/>
        <v>1171</v>
      </c>
      <c r="K68" s="109">
        <f>SUM(K8:K67)</f>
        <v>438</v>
      </c>
      <c r="L68" s="109">
        <f t="shared" si="59"/>
        <v>733</v>
      </c>
      <c r="M68" s="109">
        <f>SUM(M8:M67)</f>
        <v>371</v>
      </c>
      <c r="N68" s="109">
        <f>SUM(N8:N67)</f>
        <v>466</v>
      </c>
      <c r="O68" s="109">
        <f t="shared" si="57"/>
        <v>334</v>
      </c>
      <c r="P68" s="109">
        <f>SUM(P8:P67)</f>
        <v>339481</v>
      </c>
      <c r="Q68" s="109">
        <f>SUM(Q8:Q67)</f>
        <v>23855</v>
      </c>
      <c r="R68" s="26">
        <f t="shared" si="67"/>
        <v>315626</v>
      </c>
    </row>
    <row r="69" spans="1:18" ht="12.75">
      <c r="A69" s="38"/>
      <c r="B69" s="32"/>
      <c r="C69" s="32"/>
      <c r="D69" s="117"/>
      <c r="E69" s="117"/>
      <c r="F69" s="117"/>
      <c r="G69" s="38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26"/>
    </row>
    <row r="70" spans="1:7" ht="12.75">
      <c r="A70" s="35" t="s">
        <v>173</v>
      </c>
      <c r="B70" s="35"/>
      <c r="C70" s="35"/>
      <c r="D70" s="35"/>
      <c r="E70" s="35"/>
      <c r="F70" s="35"/>
      <c r="G70" s="35"/>
    </row>
    <row r="71" spans="1:11" ht="12.75">
      <c r="A71" s="38" t="s">
        <v>175</v>
      </c>
      <c r="I71" s="26"/>
      <c r="J71" s="26"/>
      <c r="K71" s="26"/>
    </row>
    <row r="72" spans="9:11" ht="12.75">
      <c r="I72" s="26"/>
      <c r="J72" s="26"/>
      <c r="K72" s="26"/>
    </row>
    <row r="75" spans="1:7" ht="12.75">
      <c r="A75" s="26"/>
      <c r="B75" s="26"/>
      <c r="C75" s="26"/>
      <c r="D75" s="26"/>
      <c r="E75" s="26"/>
      <c r="F75" s="26"/>
      <c r="G75" s="26"/>
    </row>
    <row r="76" spans="1:7" ht="12.75">
      <c r="A76" s="26"/>
      <c r="B76" s="26"/>
      <c r="C76" s="26"/>
      <c r="D76" s="26"/>
      <c r="E76" s="26"/>
      <c r="F76" s="26"/>
      <c r="G76" s="26"/>
    </row>
    <row r="77" spans="1:7" ht="12.75">
      <c r="A77" s="26"/>
      <c r="B77" s="26"/>
      <c r="C77" s="26"/>
      <c r="D77" s="26"/>
      <c r="E77" s="26"/>
      <c r="F77" s="26"/>
      <c r="G77" s="26"/>
    </row>
    <row r="78" spans="1:7" ht="12.75">
      <c r="A78" s="26"/>
      <c r="B78" s="26"/>
      <c r="C78" s="26"/>
      <c r="D78" s="26"/>
      <c r="E78" s="26"/>
      <c r="F78" s="26"/>
      <c r="G78" s="26"/>
    </row>
  </sheetData>
  <sheetProtection/>
  <mergeCells count="2">
    <mergeCell ref="P5:R5"/>
    <mergeCell ref="H5:O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841"/>
  <sheetViews>
    <sheetView zoomScalePageLayoutView="0" workbookViewId="0" topLeftCell="A1">
      <selection activeCell="B9" sqref="B9:H27"/>
    </sheetView>
  </sheetViews>
  <sheetFormatPr defaultColWidth="11.421875" defaultRowHeight="12.75"/>
  <cols>
    <col min="1" max="1" width="15.8515625" style="0" customWidth="1"/>
    <col min="2" max="2" width="11.8515625" style="0" customWidth="1"/>
    <col min="3" max="3" width="11.28125" style="13" customWidth="1"/>
    <col min="4" max="4" width="11.140625" style="0" customWidth="1"/>
    <col min="5" max="5" width="10.57421875" style="0" customWidth="1"/>
    <col min="6" max="6" width="10.140625" style="0" customWidth="1"/>
    <col min="7" max="7" width="11.7109375" style="0" customWidth="1"/>
    <col min="8" max="8" width="11.8515625" style="0" customWidth="1"/>
    <col min="9" max="9" width="11.8515625" style="20" customWidth="1"/>
    <col min="10" max="10" width="10.8515625" style="0" customWidth="1"/>
    <col min="11" max="11" width="10.57421875" style="0" customWidth="1"/>
    <col min="12" max="12" width="14.140625" style="0" customWidth="1"/>
    <col min="13" max="15" width="9.7109375" style="0" customWidth="1"/>
  </cols>
  <sheetData>
    <row r="1" spans="1:10" ht="12.75">
      <c r="A1" s="14" t="s">
        <v>458</v>
      </c>
      <c r="B1" s="14"/>
      <c r="C1" s="11"/>
      <c r="D1" s="11"/>
      <c r="E1" s="11"/>
      <c r="F1" s="11"/>
      <c r="G1" s="11"/>
      <c r="H1" s="11"/>
      <c r="I1" s="129"/>
      <c r="J1" s="14"/>
    </row>
    <row r="2" spans="1:10" ht="12.75">
      <c r="A2" s="16" t="s">
        <v>346</v>
      </c>
      <c r="B2" s="16"/>
      <c r="C2" s="11"/>
      <c r="D2" s="11"/>
      <c r="E2" s="11"/>
      <c r="F2" s="11"/>
      <c r="G2" s="11"/>
      <c r="H2" s="11"/>
      <c r="I2" s="129"/>
      <c r="J2" s="16"/>
    </row>
    <row r="3" spans="1:11" ht="12.75">
      <c r="A3" s="123"/>
      <c r="B3" s="120"/>
      <c r="C3" s="283" t="s">
        <v>248</v>
      </c>
      <c r="D3" s="284"/>
      <c r="E3" s="284"/>
      <c r="F3" s="285"/>
      <c r="G3" s="283" t="s">
        <v>237</v>
      </c>
      <c r="H3" s="285"/>
      <c r="I3" s="129"/>
      <c r="J3" s="120"/>
      <c r="K3" s="120"/>
    </row>
    <row r="4" spans="1:11" ht="12.75">
      <c r="A4" s="2"/>
      <c r="B4" s="2"/>
      <c r="C4" s="7" t="s">
        <v>233</v>
      </c>
      <c r="D4" s="5" t="s">
        <v>233</v>
      </c>
      <c r="E4" s="120"/>
      <c r="F4" s="7"/>
      <c r="G4" s="8"/>
      <c r="H4" s="8"/>
      <c r="I4" s="129"/>
      <c r="J4" s="8"/>
      <c r="K4" s="8"/>
    </row>
    <row r="5" spans="1:11" ht="12.75">
      <c r="A5" s="2"/>
      <c r="B5" s="2"/>
      <c r="C5" s="8" t="s">
        <v>234</v>
      </c>
      <c r="D5" s="5" t="s">
        <v>234</v>
      </c>
      <c r="E5" s="98"/>
      <c r="F5" s="8"/>
      <c r="G5" s="8"/>
      <c r="H5" s="8"/>
      <c r="I5" s="129"/>
      <c r="J5" s="8" t="s">
        <v>225</v>
      </c>
      <c r="K5" s="8">
        <v>2018</v>
      </c>
    </row>
    <row r="6" spans="1:11" ht="12.75">
      <c r="A6" s="2"/>
      <c r="B6" s="2"/>
      <c r="C6" s="8" t="s">
        <v>231</v>
      </c>
      <c r="D6" s="5" t="s">
        <v>231</v>
      </c>
      <c r="E6" s="8" t="s">
        <v>233</v>
      </c>
      <c r="F6" s="8" t="s">
        <v>233</v>
      </c>
      <c r="G6" s="8" t="s">
        <v>233</v>
      </c>
      <c r="H6" s="8" t="s">
        <v>233</v>
      </c>
      <c r="I6" s="129"/>
      <c r="J6" s="8" t="s">
        <v>48</v>
      </c>
      <c r="K6" s="8" t="s">
        <v>198</v>
      </c>
    </row>
    <row r="7" spans="1:11" ht="12.75">
      <c r="A7" s="2"/>
      <c r="B7" s="2"/>
      <c r="C7" s="8" t="s">
        <v>227</v>
      </c>
      <c r="D7" s="5" t="s">
        <v>232</v>
      </c>
      <c r="E7" s="8" t="s">
        <v>235</v>
      </c>
      <c r="F7" s="8" t="s">
        <v>236</v>
      </c>
      <c r="G7" s="8" t="s">
        <v>235</v>
      </c>
      <c r="H7" s="8" t="s">
        <v>236</v>
      </c>
      <c r="I7" s="129"/>
      <c r="J7" s="8" t="s">
        <v>223</v>
      </c>
      <c r="K7" s="8" t="s">
        <v>205</v>
      </c>
    </row>
    <row r="8" spans="1:11" ht="14.25">
      <c r="A8" s="4"/>
      <c r="B8" s="17" t="s">
        <v>159</v>
      </c>
      <c r="C8" s="9" t="s">
        <v>226</v>
      </c>
      <c r="D8" s="17" t="s">
        <v>226</v>
      </c>
      <c r="E8" s="9" t="s">
        <v>62</v>
      </c>
      <c r="F8" s="9" t="s">
        <v>48</v>
      </c>
      <c r="G8" s="9" t="s">
        <v>62</v>
      </c>
      <c r="H8" s="9" t="s">
        <v>48</v>
      </c>
      <c r="I8" s="129"/>
      <c r="J8" s="9" t="s">
        <v>224</v>
      </c>
      <c r="K8" s="83" t="s">
        <v>259</v>
      </c>
    </row>
    <row r="9" spans="1:11" ht="12.75">
      <c r="A9" s="2" t="s">
        <v>0</v>
      </c>
      <c r="B9" s="124">
        <f>SUM(C9:H9)</f>
        <v>5</v>
      </c>
      <c r="C9" s="99">
        <v>0</v>
      </c>
      <c r="D9" s="47">
        <v>0</v>
      </c>
      <c r="E9" s="47">
        <v>0</v>
      </c>
      <c r="F9" s="47">
        <v>3</v>
      </c>
      <c r="G9" s="47">
        <v>1</v>
      </c>
      <c r="H9" s="47">
        <v>1</v>
      </c>
      <c r="I9" s="39"/>
      <c r="J9" s="89"/>
      <c r="K9" s="99">
        <v>18</v>
      </c>
    </row>
    <row r="10" spans="1:11" ht="12.75">
      <c r="A10" s="2" t="s">
        <v>1</v>
      </c>
      <c r="B10" s="124">
        <f aca="true" t="shared" si="0" ref="B10:B26">SUM(C10:H10)</f>
        <v>2</v>
      </c>
      <c r="C10" s="134">
        <v>0</v>
      </c>
      <c r="D10" s="47">
        <v>0</v>
      </c>
      <c r="E10" s="47">
        <v>0</v>
      </c>
      <c r="F10" s="47">
        <v>2</v>
      </c>
      <c r="G10" s="47">
        <v>0</v>
      </c>
      <c r="H10" s="47">
        <v>0</v>
      </c>
      <c r="I10" s="39"/>
      <c r="J10" s="89"/>
      <c r="K10" s="99">
        <v>22</v>
      </c>
    </row>
    <row r="11" spans="1:11" ht="12.75">
      <c r="A11" s="2" t="s">
        <v>2</v>
      </c>
      <c r="B11" s="124">
        <f t="shared" si="0"/>
        <v>0</v>
      </c>
      <c r="C11" s="134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39"/>
      <c r="J11" s="89"/>
      <c r="K11" s="99">
        <v>1</v>
      </c>
    </row>
    <row r="12" spans="1:11" ht="12.75">
      <c r="A12" s="2" t="s">
        <v>3</v>
      </c>
      <c r="B12" s="124">
        <f t="shared" si="0"/>
        <v>5</v>
      </c>
      <c r="C12" s="134">
        <v>0</v>
      </c>
      <c r="D12" s="47">
        <v>0</v>
      </c>
      <c r="E12" s="47">
        <v>1</v>
      </c>
      <c r="F12" s="47">
        <v>0</v>
      </c>
      <c r="G12" s="47">
        <v>0</v>
      </c>
      <c r="H12" s="47">
        <v>4</v>
      </c>
      <c r="I12" s="39"/>
      <c r="J12" s="89"/>
      <c r="K12" s="99">
        <v>22</v>
      </c>
    </row>
    <row r="13" spans="1:11" ht="12.75">
      <c r="A13" s="2" t="s">
        <v>4</v>
      </c>
      <c r="B13" s="124">
        <f t="shared" si="0"/>
        <v>4</v>
      </c>
      <c r="C13" s="134">
        <v>0</v>
      </c>
      <c r="D13" s="47">
        <v>0</v>
      </c>
      <c r="E13" s="47">
        <v>0</v>
      </c>
      <c r="F13" s="47">
        <v>0</v>
      </c>
      <c r="G13" s="47">
        <v>0</v>
      </c>
      <c r="H13" s="47">
        <v>4</v>
      </c>
      <c r="I13" s="39"/>
      <c r="J13" s="89"/>
      <c r="K13" s="99">
        <v>26</v>
      </c>
    </row>
    <row r="14" spans="1:11" ht="14.25">
      <c r="A14" s="2" t="s">
        <v>230</v>
      </c>
      <c r="B14" s="124">
        <f t="shared" si="0"/>
        <v>3</v>
      </c>
      <c r="C14" s="134">
        <v>0</v>
      </c>
      <c r="D14" s="47">
        <v>0</v>
      </c>
      <c r="E14" s="47">
        <v>0</v>
      </c>
      <c r="F14" s="47">
        <v>1</v>
      </c>
      <c r="G14" s="47">
        <v>1</v>
      </c>
      <c r="H14" s="47">
        <v>1</v>
      </c>
      <c r="I14" s="39"/>
      <c r="J14" s="89"/>
      <c r="K14" s="99">
        <v>21</v>
      </c>
    </row>
    <row r="15" spans="1:11" ht="12.75">
      <c r="A15" s="2" t="s">
        <v>6</v>
      </c>
      <c r="B15" s="124">
        <f t="shared" si="0"/>
        <v>0</v>
      </c>
      <c r="C15" s="134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39"/>
      <c r="J15" s="89"/>
      <c r="K15" s="99">
        <v>9</v>
      </c>
    </row>
    <row r="16" spans="1:11" ht="12.75">
      <c r="A16" s="3" t="s">
        <v>7</v>
      </c>
      <c r="B16" s="124">
        <f t="shared" si="0"/>
        <v>6</v>
      </c>
      <c r="C16" s="134">
        <v>0</v>
      </c>
      <c r="D16" s="47">
        <v>0</v>
      </c>
      <c r="E16" s="47">
        <v>0</v>
      </c>
      <c r="F16" s="47">
        <v>2</v>
      </c>
      <c r="G16" s="47">
        <v>1</v>
      </c>
      <c r="H16" s="47">
        <v>3</v>
      </c>
      <c r="I16" s="39"/>
      <c r="J16" s="89"/>
      <c r="K16" s="99">
        <v>18</v>
      </c>
    </row>
    <row r="17" spans="1:11" ht="12.75">
      <c r="A17" s="2" t="s">
        <v>8</v>
      </c>
      <c r="B17" s="124">
        <f t="shared" si="0"/>
        <v>7</v>
      </c>
      <c r="C17" s="134">
        <v>0</v>
      </c>
      <c r="D17" s="47">
        <v>0</v>
      </c>
      <c r="E17" s="47">
        <v>0</v>
      </c>
      <c r="F17" s="47">
        <v>3</v>
      </c>
      <c r="G17" s="47">
        <v>1</v>
      </c>
      <c r="H17" s="47">
        <v>3</v>
      </c>
      <c r="I17" s="39"/>
      <c r="J17" s="89"/>
      <c r="K17" s="99">
        <v>15</v>
      </c>
    </row>
    <row r="18" spans="1:11" ht="12.75">
      <c r="A18" s="2" t="s">
        <v>9</v>
      </c>
      <c r="B18" s="124">
        <f t="shared" si="0"/>
        <v>2</v>
      </c>
      <c r="C18" s="134">
        <v>0</v>
      </c>
      <c r="D18" s="47">
        <v>0</v>
      </c>
      <c r="E18" s="47">
        <v>0</v>
      </c>
      <c r="F18" s="47">
        <v>0</v>
      </c>
      <c r="G18" s="47">
        <v>0</v>
      </c>
      <c r="H18" s="47">
        <v>2</v>
      </c>
      <c r="I18" s="39"/>
      <c r="J18" s="89"/>
      <c r="K18" s="99">
        <v>15</v>
      </c>
    </row>
    <row r="19" spans="1:11" ht="12.75">
      <c r="A19" s="2" t="s">
        <v>10</v>
      </c>
      <c r="B19" s="124">
        <f t="shared" si="0"/>
        <v>8</v>
      </c>
      <c r="C19" s="134">
        <v>0</v>
      </c>
      <c r="D19" s="47">
        <v>0</v>
      </c>
      <c r="E19" s="47">
        <v>0</v>
      </c>
      <c r="F19" s="47">
        <v>1</v>
      </c>
      <c r="G19" s="47">
        <v>3</v>
      </c>
      <c r="H19" s="47">
        <v>4</v>
      </c>
      <c r="I19" s="39"/>
      <c r="J19" s="89"/>
      <c r="K19" s="99">
        <v>26</v>
      </c>
    </row>
    <row r="20" spans="1:11" ht="12.75">
      <c r="A20" s="3" t="s">
        <v>11</v>
      </c>
      <c r="B20" s="124">
        <f t="shared" si="0"/>
        <v>10</v>
      </c>
      <c r="C20" s="134">
        <v>0</v>
      </c>
      <c r="D20" s="47">
        <v>1</v>
      </c>
      <c r="E20" s="47">
        <v>0</v>
      </c>
      <c r="F20" s="47">
        <v>1</v>
      </c>
      <c r="G20" s="47">
        <v>2</v>
      </c>
      <c r="H20" s="47">
        <v>6</v>
      </c>
      <c r="I20" s="39"/>
      <c r="J20" s="89"/>
      <c r="K20" s="99">
        <v>33</v>
      </c>
    </row>
    <row r="21" spans="1:11" ht="12.75">
      <c r="A21" s="2" t="s">
        <v>12</v>
      </c>
      <c r="B21" s="124">
        <f t="shared" si="0"/>
        <v>5</v>
      </c>
      <c r="C21" s="134">
        <v>0</v>
      </c>
      <c r="D21" s="47">
        <v>0</v>
      </c>
      <c r="E21" s="47">
        <v>0</v>
      </c>
      <c r="F21" s="47">
        <v>0</v>
      </c>
      <c r="G21" s="47">
        <v>0</v>
      </c>
      <c r="H21" s="47">
        <v>5</v>
      </c>
      <c r="I21" s="39"/>
      <c r="J21" s="89"/>
      <c r="K21" s="99">
        <v>26</v>
      </c>
    </row>
    <row r="22" spans="1:11" ht="12.75">
      <c r="A22" s="2" t="s">
        <v>13</v>
      </c>
      <c r="B22" s="124">
        <f t="shared" si="0"/>
        <v>15</v>
      </c>
      <c r="C22" s="134">
        <v>0</v>
      </c>
      <c r="D22" s="47">
        <v>0</v>
      </c>
      <c r="E22" s="47">
        <v>0</v>
      </c>
      <c r="F22" s="47">
        <v>2</v>
      </c>
      <c r="G22" s="47">
        <v>2</v>
      </c>
      <c r="H22" s="47">
        <v>11</v>
      </c>
      <c r="I22" s="39"/>
      <c r="J22" s="89"/>
      <c r="K22" s="99">
        <v>36</v>
      </c>
    </row>
    <row r="23" spans="1:11" ht="12.75">
      <c r="A23" s="2" t="s">
        <v>450</v>
      </c>
      <c r="B23" s="124">
        <f t="shared" si="0"/>
        <v>24</v>
      </c>
      <c r="C23" s="134">
        <v>0</v>
      </c>
      <c r="D23" s="47">
        <v>1</v>
      </c>
      <c r="E23" s="47">
        <v>2</v>
      </c>
      <c r="F23" s="47">
        <v>3</v>
      </c>
      <c r="G23" s="47">
        <v>7</v>
      </c>
      <c r="H23" s="47">
        <v>11</v>
      </c>
      <c r="I23" s="39"/>
      <c r="J23" s="89"/>
      <c r="K23" s="99">
        <v>47</v>
      </c>
    </row>
    <row r="24" spans="1:11" ht="12.75">
      <c r="A24" s="2" t="s">
        <v>15</v>
      </c>
      <c r="B24" s="124">
        <f t="shared" si="0"/>
        <v>23</v>
      </c>
      <c r="C24" s="134">
        <v>0</v>
      </c>
      <c r="D24" s="47">
        <v>3</v>
      </c>
      <c r="E24" s="47">
        <v>1</v>
      </c>
      <c r="F24" s="47">
        <v>6</v>
      </c>
      <c r="G24" s="47">
        <v>3</v>
      </c>
      <c r="H24" s="47">
        <v>10</v>
      </c>
      <c r="I24" s="39"/>
      <c r="J24" s="89"/>
      <c r="K24" s="99">
        <v>44</v>
      </c>
    </row>
    <row r="25" spans="1:11" ht="12.75">
      <c r="A25" s="2" t="s">
        <v>16</v>
      </c>
      <c r="B25" s="124">
        <f t="shared" si="0"/>
        <v>8</v>
      </c>
      <c r="C25" s="134">
        <v>0</v>
      </c>
      <c r="D25" s="47">
        <v>4</v>
      </c>
      <c r="E25" s="47">
        <v>0</v>
      </c>
      <c r="F25" s="47">
        <v>1</v>
      </c>
      <c r="G25" s="47">
        <v>1</v>
      </c>
      <c r="H25" s="47">
        <v>2</v>
      </c>
      <c r="I25" s="39"/>
      <c r="J25" s="89"/>
      <c r="K25" s="99">
        <v>24</v>
      </c>
    </row>
    <row r="26" spans="1:11" ht="12.75">
      <c r="A26" s="2" t="s">
        <v>17</v>
      </c>
      <c r="B26" s="124">
        <f t="shared" si="0"/>
        <v>7</v>
      </c>
      <c r="C26" s="134">
        <v>0</v>
      </c>
      <c r="D26" s="47">
        <v>0</v>
      </c>
      <c r="E26" s="47">
        <v>0</v>
      </c>
      <c r="F26" s="47">
        <v>2</v>
      </c>
      <c r="G26" s="47">
        <v>3</v>
      </c>
      <c r="H26" s="47">
        <v>2</v>
      </c>
      <c r="I26" s="39"/>
      <c r="J26" s="89"/>
      <c r="K26" s="99">
        <v>19</v>
      </c>
    </row>
    <row r="27" spans="1:12" ht="12.75">
      <c r="A27" s="6" t="s">
        <v>23</v>
      </c>
      <c r="B27" s="122">
        <f>SUM(B9:B26)</f>
        <v>134</v>
      </c>
      <c r="C27" s="121">
        <v>0</v>
      </c>
      <c r="D27" s="119">
        <f>SUM(D9:D26)</f>
        <v>9</v>
      </c>
      <c r="E27" s="119">
        <f>SUM(E9:E26)</f>
        <v>4</v>
      </c>
      <c r="F27" s="119">
        <f>SUM(F9:F26)</f>
        <v>27</v>
      </c>
      <c r="G27" s="119">
        <f>SUM(G9:G26)</f>
        <v>25</v>
      </c>
      <c r="H27" s="119">
        <f>SUM(H9:H26)</f>
        <v>69</v>
      </c>
      <c r="I27" s="39"/>
      <c r="J27" s="119"/>
      <c r="K27" s="122">
        <f>SUM(K9:K26)</f>
        <v>422</v>
      </c>
      <c r="L27" s="169" t="s">
        <v>369</v>
      </c>
    </row>
    <row r="28" spans="1:12" ht="12.75">
      <c r="A28" s="19" t="s">
        <v>358</v>
      </c>
      <c r="B28" s="20"/>
      <c r="G28" s="168" t="s">
        <v>359</v>
      </c>
      <c r="L28" s="169" t="s">
        <v>363</v>
      </c>
    </row>
    <row r="29" spans="1:12" ht="12.75">
      <c r="A29" s="19" t="s">
        <v>239</v>
      </c>
      <c r="B29" s="20"/>
      <c r="G29" s="170" t="s">
        <v>365</v>
      </c>
      <c r="L29" s="171" t="s">
        <v>364</v>
      </c>
    </row>
    <row r="30" ht="12.75">
      <c r="B30" s="26">
        <f>SUM(C27:H27)</f>
        <v>134</v>
      </c>
    </row>
    <row r="31" ht="12.75">
      <c r="G31" s="170" t="s">
        <v>366</v>
      </c>
    </row>
    <row r="32" spans="1:10" ht="12.75">
      <c r="A32" s="16"/>
      <c r="B32" s="16"/>
      <c r="C32" s="11"/>
      <c r="D32" s="11"/>
      <c r="E32" s="11"/>
      <c r="F32" s="11"/>
      <c r="G32" s="11"/>
      <c r="H32" s="11"/>
      <c r="I32" s="129"/>
      <c r="J32" s="16"/>
    </row>
    <row r="33" spans="1:12" ht="12.75">
      <c r="A33" s="123"/>
      <c r="B33" s="120"/>
      <c r="C33" s="283" t="s">
        <v>248</v>
      </c>
      <c r="D33" s="284"/>
      <c r="E33" s="284"/>
      <c r="F33" s="285"/>
      <c r="G33" s="283" t="s">
        <v>237</v>
      </c>
      <c r="H33" s="285"/>
      <c r="I33" s="129"/>
      <c r="J33" s="120"/>
      <c r="K33" s="120"/>
      <c r="L33" s="169" t="s">
        <v>428</v>
      </c>
    </row>
    <row r="34" spans="1:12" ht="12.75">
      <c r="A34" s="2"/>
      <c r="B34" s="2"/>
      <c r="C34" s="7" t="s">
        <v>233</v>
      </c>
      <c r="D34" s="5" t="s">
        <v>233</v>
      </c>
      <c r="E34" s="120"/>
      <c r="F34" s="7"/>
      <c r="G34" s="8"/>
      <c r="H34" s="8"/>
      <c r="I34" s="129"/>
      <c r="J34" s="8"/>
      <c r="K34" s="8"/>
      <c r="L34" s="171" t="s">
        <v>429</v>
      </c>
    </row>
    <row r="35" spans="1:11" ht="12.75">
      <c r="A35" s="2"/>
      <c r="B35" s="2"/>
      <c r="C35" s="8" t="s">
        <v>234</v>
      </c>
      <c r="D35" s="5" t="s">
        <v>234</v>
      </c>
      <c r="E35" s="98"/>
      <c r="F35" s="8"/>
      <c r="G35" s="8"/>
      <c r="H35" s="8"/>
      <c r="I35" s="129"/>
      <c r="J35" s="8" t="s">
        <v>225</v>
      </c>
      <c r="K35" s="8"/>
    </row>
    <row r="36" spans="1:11" ht="12.75">
      <c r="A36" s="2"/>
      <c r="B36" s="2"/>
      <c r="C36" s="8" t="s">
        <v>231</v>
      </c>
      <c r="D36" s="5" t="s">
        <v>231</v>
      </c>
      <c r="E36" s="8" t="s">
        <v>233</v>
      </c>
      <c r="F36" s="8" t="s">
        <v>233</v>
      </c>
      <c r="G36" s="8" t="s">
        <v>233</v>
      </c>
      <c r="H36" s="8" t="s">
        <v>233</v>
      </c>
      <c r="I36" s="129"/>
      <c r="J36" s="8" t="s">
        <v>48</v>
      </c>
      <c r="K36" s="8" t="s">
        <v>198</v>
      </c>
    </row>
    <row r="37" spans="1:12" ht="12.75">
      <c r="A37" s="2"/>
      <c r="B37" s="2"/>
      <c r="C37" s="8" t="s">
        <v>227</v>
      </c>
      <c r="D37" s="5" t="s">
        <v>232</v>
      </c>
      <c r="E37" s="8" t="s">
        <v>235</v>
      </c>
      <c r="F37" s="8" t="s">
        <v>236</v>
      </c>
      <c r="G37" s="8" t="s">
        <v>235</v>
      </c>
      <c r="H37" s="8" t="s">
        <v>236</v>
      </c>
      <c r="I37" s="129"/>
      <c r="J37" s="8" t="s">
        <v>223</v>
      </c>
      <c r="K37" s="8" t="s">
        <v>205</v>
      </c>
      <c r="L37" s="266" t="s">
        <v>453</v>
      </c>
    </row>
    <row r="38" spans="1:12" ht="14.25">
      <c r="A38" s="4"/>
      <c r="B38" s="17" t="s">
        <v>159</v>
      </c>
      <c r="C38" s="9" t="s">
        <v>226</v>
      </c>
      <c r="D38" s="17" t="s">
        <v>226</v>
      </c>
      <c r="E38" s="9" t="s">
        <v>62</v>
      </c>
      <c r="F38" s="9" t="s">
        <v>48</v>
      </c>
      <c r="G38" s="9" t="s">
        <v>62</v>
      </c>
      <c r="H38" s="9" t="s">
        <v>48</v>
      </c>
      <c r="I38" s="129"/>
      <c r="J38" s="9" t="s">
        <v>224</v>
      </c>
      <c r="K38" s="83" t="s">
        <v>259</v>
      </c>
      <c r="L38" s="262" t="s">
        <v>452</v>
      </c>
    </row>
    <row r="39" spans="1:12" ht="12.75">
      <c r="A39" s="2" t="s">
        <v>0</v>
      </c>
      <c r="B39" s="124">
        <f>SUM(C39:H39)</f>
        <v>3</v>
      </c>
      <c r="C39" s="99">
        <v>0</v>
      </c>
      <c r="D39" s="47">
        <v>0</v>
      </c>
      <c r="E39" s="47">
        <v>0</v>
      </c>
      <c r="F39" s="47">
        <v>0</v>
      </c>
      <c r="G39" s="47">
        <v>2</v>
      </c>
      <c r="H39" s="47">
        <v>1</v>
      </c>
      <c r="I39" s="39"/>
      <c r="J39" s="89"/>
      <c r="K39" s="99">
        <v>18</v>
      </c>
      <c r="L39" s="263" t="s">
        <v>454</v>
      </c>
    </row>
    <row r="40" spans="1:16" ht="12.75">
      <c r="A40" s="2" t="s">
        <v>1</v>
      </c>
      <c r="B40" s="124">
        <f aca="true" t="shared" si="1" ref="B40:B57">SUM(C40:H40)</f>
        <v>2</v>
      </c>
      <c r="C40" s="134">
        <v>0</v>
      </c>
      <c r="D40" s="47">
        <v>0</v>
      </c>
      <c r="E40" s="47">
        <v>0</v>
      </c>
      <c r="F40" s="47">
        <v>0</v>
      </c>
      <c r="G40" s="47">
        <v>0</v>
      </c>
      <c r="H40" s="47">
        <v>2</v>
      </c>
      <c r="I40" s="39"/>
      <c r="J40" s="89"/>
      <c r="K40" s="99">
        <v>22</v>
      </c>
      <c r="L40" s="264" t="s">
        <v>455</v>
      </c>
      <c r="P40" t="s">
        <v>450</v>
      </c>
    </row>
    <row r="41" spans="1:12" ht="12.75">
      <c r="A41" s="2" t="s">
        <v>2</v>
      </c>
      <c r="B41" s="124">
        <f t="shared" si="1"/>
        <v>0</v>
      </c>
      <c r="C41" s="134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39"/>
      <c r="J41" s="89"/>
      <c r="K41" s="99">
        <v>1</v>
      </c>
      <c r="L41" s="265" t="s">
        <v>456</v>
      </c>
    </row>
    <row r="42" spans="1:11" ht="12.75">
      <c r="A42" s="2" t="s">
        <v>3</v>
      </c>
      <c r="B42" s="124">
        <f t="shared" si="1"/>
        <v>3</v>
      </c>
      <c r="C42" s="134">
        <v>0</v>
      </c>
      <c r="D42" s="47">
        <v>0</v>
      </c>
      <c r="E42" s="47">
        <v>0</v>
      </c>
      <c r="F42" s="47">
        <v>0</v>
      </c>
      <c r="G42" s="47">
        <v>3</v>
      </c>
      <c r="H42" s="47">
        <v>0</v>
      </c>
      <c r="I42" s="39"/>
      <c r="J42" s="89"/>
      <c r="K42" s="99">
        <v>22</v>
      </c>
    </row>
    <row r="43" spans="1:11" ht="12.75">
      <c r="A43" s="2" t="s">
        <v>4</v>
      </c>
      <c r="B43" s="124">
        <f t="shared" si="1"/>
        <v>4</v>
      </c>
      <c r="C43" s="134">
        <v>0</v>
      </c>
      <c r="D43" s="47">
        <v>0</v>
      </c>
      <c r="E43" s="47">
        <v>0</v>
      </c>
      <c r="F43" s="47">
        <v>1</v>
      </c>
      <c r="G43" s="47">
        <v>0</v>
      </c>
      <c r="H43" s="47">
        <v>3</v>
      </c>
      <c r="I43" s="39"/>
      <c r="J43" s="89"/>
      <c r="K43" s="99">
        <v>26</v>
      </c>
    </row>
    <row r="44" spans="1:11" ht="14.25">
      <c r="A44" s="2" t="s">
        <v>230</v>
      </c>
      <c r="B44" s="124">
        <f t="shared" si="1"/>
        <v>3</v>
      </c>
      <c r="C44" s="134">
        <v>0</v>
      </c>
      <c r="D44" s="47">
        <v>0</v>
      </c>
      <c r="E44" s="47">
        <v>0</v>
      </c>
      <c r="F44" s="47">
        <v>0</v>
      </c>
      <c r="G44" s="47">
        <v>0</v>
      </c>
      <c r="H44" s="47">
        <v>3</v>
      </c>
      <c r="I44" s="39"/>
      <c r="J44" s="89"/>
      <c r="K44" s="99">
        <v>20</v>
      </c>
    </row>
    <row r="45" spans="1:11" ht="12.75">
      <c r="A45" s="2" t="s">
        <v>6</v>
      </c>
      <c r="B45" s="124">
        <f t="shared" si="1"/>
        <v>2</v>
      </c>
      <c r="C45" s="134">
        <v>0</v>
      </c>
      <c r="D45" s="47">
        <v>0</v>
      </c>
      <c r="E45" s="47">
        <v>0</v>
      </c>
      <c r="F45" s="47">
        <v>1</v>
      </c>
      <c r="G45" s="47">
        <v>0</v>
      </c>
      <c r="H45" s="47">
        <v>1</v>
      </c>
      <c r="I45" s="39"/>
      <c r="J45" s="89"/>
      <c r="K45" s="99">
        <v>14</v>
      </c>
    </row>
    <row r="46" spans="1:11" ht="12.75">
      <c r="A46" s="3" t="s">
        <v>7</v>
      </c>
      <c r="B46" s="124">
        <f t="shared" si="1"/>
        <v>4</v>
      </c>
      <c r="C46" s="134">
        <v>0</v>
      </c>
      <c r="D46" s="47">
        <v>0</v>
      </c>
      <c r="E46" s="47">
        <v>0</v>
      </c>
      <c r="F46" s="47">
        <v>0</v>
      </c>
      <c r="G46" s="47">
        <v>0</v>
      </c>
      <c r="H46" s="47">
        <v>4</v>
      </c>
      <c r="I46" s="39"/>
      <c r="J46" s="89"/>
      <c r="K46" s="99">
        <v>18</v>
      </c>
    </row>
    <row r="47" spans="1:11" ht="12.75">
      <c r="A47" s="2" t="s">
        <v>8</v>
      </c>
      <c r="B47" s="124">
        <f t="shared" si="1"/>
        <v>1</v>
      </c>
      <c r="C47" s="134">
        <v>0</v>
      </c>
      <c r="D47" s="47">
        <v>1</v>
      </c>
      <c r="E47" s="47">
        <v>0</v>
      </c>
      <c r="F47" s="47">
        <v>0</v>
      </c>
      <c r="G47" s="47">
        <v>0</v>
      </c>
      <c r="H47" s="47">
        <v>0</v>
      </c>
      <c r="I47" s="39"/>
      <c r="J47" s="89"/>
      <c r="K47" s="99">
        <v>15</v>
      </c>
    </row>
    <row r="48" spans="1:11" ht="12.75">
      <c r="A48" s="2" t="s">
        <v>9</v>
      </c>
      <c r="B48" s="124">
        <f t="shared" si="1"/>
        <v>1</v>
      </c>
      <c r="C48" s="134">
        <v>0</v>
      </c>
      <c r="D48" s="47">
        <v>0</v>
      </c>
      <c r="E48" s="47">
        <v>0</v>
      </c>
      <c r="F48" s="47">
        <v>0</v>
      </c>
      <c r="G48" s="47">
        <v>0</v>
      </c>
      <c r="H48" s="47">
        <v>1</v>
      </c>
      <c r="I48" s="39"/>
      <c r="J48" s="89"/>
      <c r="K48" s="99">
        <v>15</v>
      </c>
    </row>
    <row r="49" spans="1:11" ht="12.75">
      <c r="A49" s="2" t="s">
        <v>10</v>
      </c>
      <c r="B49" s="124">
        <f t="shared" si="1"/>
        <v>9</v>
      </c>
      <c r="C49" s="134">
        <v>0</v>
      </c>
      <c r="D49" s="47">
        <v>0</v>
      </c>
      <c r="E49" s="47">
        <v>0</v>
      </c>
      <c r="F49" s="47">
        <v>3</v>
      </c>
      <c r="G49" s="47">
        <v>3</v>
      </c>
      <c r="H49" s="47">
        <v>3</v>
      </c>
      <c r="I49" s="39"/>
      <c r="J49" s="89"/>
      <c r="K49" s="99">
        <v>26</v>
      </c>
    </row>
    <row r="50" spans="1:11" ht="12.75">
      <c r="A50" s="3" t="s">
        <v>11</v>
      </c>
      <c r="B50" s="124">
        <f t="shared" si="1"/>
        <v>7</v>
      </c>
      <c r="C50" s="134">
        <v>0</v>
      </c>
      <c r="D50" s="47">
        <v>0</v>
      </c>
      <c r="E50" s="47">
        <v>0</v>
      </c>
      <c r="F50" s="47">
        <v>0</v>
      </c>
      <c r="G50" s="47">
        <v>3</v>
      </c>
      <c r="H50" s="47">
        <v>4</v>
      </c>
      <c r="I50" s="39"/>
      <c r="J50" s="89"/>
      <c r="K50" s="99">
        <v>33</v>
      </c>
    </row>
    <row r="51" spans="1:11" ht="12.75">
      <c r="A51" s="2" t="s">
        <v>12</v>
      </c>
      <c r="B51" s="124">
        <f t="shared" si="1"/>
        <v>6</v>
      </c>
      <c r="C51" s="134">
        <v>0</v>
      </c>
      <c r="D51" s="47">
        <v>0</v>
      </c>
      <c r="E51" s="47">
        <v>1</v>
      </c>
      <c r="F51" s="47">
        <v>1</v>
      </c>
      <c r="G51" s="47">
        <v>1</v>
      </c>
      <c r="H51" s="47">
        <v>3</v>
      </c>
      <c r="I51" s="39"/>
      <c r="J51" s="89"/>
      <c r="K51" s="99">
        <v>26</v>
      </c>
    </row>
    <row r="52" spans="1:11" ht="12.75">
      <c r="A52" s="2" t="s">
        <v>13</v>
      </c>
      <c r="B52" s="124">
        <f t="shared" si="1"/>
        <v>9</v>
      </c>
      <c r="C52" s="134">
        <v>0</v>
      </c>
      <c r="D52" s="47">
        <v>0</v>
      </c>
      <c r="E52" s="47">
        <v>0</v>
      </c>
      <c r="F52" s="47">
        <v>1</v>
      </c>
      <c r="G52" s="47">
        <v>2</v>
      </c>
      <c r="H52" s="47">
        <v>6</v>
      </c>
      <c r="I52" s="39"/>
      <c r="J52" s="89"/>
      <c r="K52" s="99">
        <v>36</v>
      </c>
    </row>
    <row r="53" spans="1:12" ht="12.75">
      <c r="A53" s="2" t="s">
        <v>14</v>
      </c>
      <c r="B53" s="124">
        <f t="shared" si="1"/>
        <v>10</v>
      </c>
      <c r="C53" s="134">
        <v>0</v>
      </c>
      <c r="D53" s="47">
        <v>0</v>
      </c>
      <c r="E53" s="47">
        <v>0</v>
      </c>
      <c r="F53" s="47">
        <v>0</v>
      </c>
      <c r="G53" s="47">
        <v>5</v>
      </c>
      <c r="H53" s="47">
        <v>5</v>
      </c>
      <c r="I53" s="39"/>
      <c r="J53" s="89"/>
      <c r="K53" s="99">
        <v>25</v>
      </c>
      <c r="L53" s="26"/>
    </row>
    <row r="54" spans="1:11" ht="14.25">
      <c r="A54" s="3" t="s">
        <v>229</v>
      </c>
      <c r="B54" s="124">
        <f t="shared" si="1"/>
        <v>11</v>
      </c>
      <c r="C54" s="134">
        <v>0</v>
      </c>
      <c r="D54" s="47">
        <v>1</v>
      </c>
      <c r="E54" s="47">
        <v>0</v>
      </c>
      <c r="F54" s="47">
        <v>2</v>
      </c>
      <c r="G54" s="47">
        <v>5</v>
      </c>
      <c r="H54" s="47">
        <v>3</v>
      </c>
      <c r="I54" s="39"/>
      <c r="J54" s="89"/>
      <c r="K54" s="99">
        <v>23</v>
      </c>
    </row>
    <row r="55" spans="1:11" ht="12.75">
      <c r="A55" s="2" t="s">
        <v>15</v>
      </c>
      <c r="B55" s="124">
        <f t="shared" si="1"/>
        <v>13</v>
      </c>
      <c r="C55" s="134">
        <v>0</v>
      </c>
      <c r="D55" s="47">
        <v>2</v>
      </c>
      <c r="E55" s="47">
        <v>1</v>
      </c>
      <c r="F55" s="47">
        <v>0</v>
      </c>
      <c r="G55" s="47">
        <v>5</v>
      </c>
      <c r="H55" s="47">
        <v>5</v>
      </c>
      <c r="I55" s="39"/>
      <c r="J55" s="89"/>
      <c r="K55" s="99">
        <v>44</v>
      </c>
    </row>
    <row r="56" spans="1:11" ht="12.75">
      <c r="A56" s="2" t="s">
        <v>16</v>
      </c>
      <c r="B56" s="124">
        <f t="shared" si="1"/>
        <v>8</v>
      </c>
      <c r="C56" s="134">
        <v>0</v>
      </c>
      <c r="D56" s="47">
        <v>1</v>
      </c>
      <c r="E56" s="47">
        <v>1</v>
      </c>
      <c r="F56" s="47">
        <v>0</v>
      </c>
      <c r="G56" s="47">
        <v>5</v>
      </c>
      <c r="H56" s="47">
        <v>1</v>
      </c>
      <c r="I56" s="39"/>
      <c r="J56" s="89"/>
      <c r="K56" s="99">
        <v>25</v>
      </c>
    </row>
    <row r="57" spans="1:11" ht="12.75">
      <c r="A57" s="2" t="s">
        <v>17</v>
      </c>
      <c r="B57" s="124">
        <f t="shared" si="1"/>
        <v>10</v>
      </c>
      <c r="C57" s="134">
        <v>0</v>
      </c>
      <c r="D57" s="47">
        <v>3</v>
      </c>
      <c r="E57" s="47">
        <v>0</v>
      </c>
      <c r="F57" s="47">
        <v>1</v>
      </c>
      <c r="G57" s="47">
        <v>4</v>
      </c>
      <c r="H57" s="47">
        <v>2</v>
      </c>
      <c r="I57" s="39"/>
      <c r="J57" s="89"/>
      <c r="K57" s="99">
        <v>19</v>
      </c>
    </row>
    <row r="58" spans="1:11" ht="12.75">
      <c r="A58" s="6" t="s">
        <v>23</v>
      </c>
      <c r="B58" s="122">
        <f>SUM(B39:B57)</f>
        <v>106</v>
      </c>
      <c r="C58" s="121">
        <v>0</v>
      </c>
      <c r="D58" s="119">
        <f>SUM(D39:D57)</f>
        <v>8</v>
      </c>
      <c r="E58" s="119">
        <f>SUM(E39:E57)</f>
        <v>3</v>
      </c>
      <c r="F58" s="119">
        <f>SUM(F39:F57)</f>
        <v>10</v>
      </c>
      <c r="G58" s="119">
        <f>SUM(G39:G57)</f>
        <v>38</v>
      </c>
      <c r="H58" s="119">
        <f>SUM(H39:H57)</f>
        <v>47</v>
      </c>
      <c r="I58" s="39"/>
      <c r="J58" s="119"/>
      <c r="K58" s="122">
        <f>SUM(K39:K57)</f>
        <v>428</v>
      </c>
    </row>
    <row r="59" spans="1:2" ht="12.75">
      <c r="A59" s="19" t="s">
        <v>238</v>
      </c>
      <c r="B59" s="20"/>
    </row>
    <row r="60" spans="1:2" ht="12.75">
      <c r="A60" s="19" t="s">
        <v>239</v>
      </c>
      <c r="B60" s="20"/>
    </row>
    <row r="61" ht="12.75">
      <c r="B61" s="26">
        <f>SUM(C58:H58)</f>
        <v>106</v>
      </c>
    </row>
    <row r="66" spans="1:10" ht="12.75">
      <c r="A66" s="14" t="s">
        <v>335</v>
      </c>
      <c r="B66" s="14"/>
      <c r="C66" s="11"/>
      <c r="D66" s="11"/>
      <c r="E66" s="11"/>
      <c r="F66" s="11"/>
      <c r="G66" s="11"/>
      <c r="H66" s="11"/>
      <c r="I66" s="129"/>
      <c r="J66" s="14"/>
    </row>
    <row r="67" spans="1:10" ht="12.75">
      <c r="A67" s="16"/>
      <c r="B67" s="16"/>
      <c r="C67" s="11"/>
      <c r="D67" s="11"/>
      <c r="E67" s="11"/>
      <c r="F67" s="11"/>
      <c r="G67" s="11"/>
      <c r="H67" s="11"/>
      <c r="I67" s="129"/>
      <c r="J67" s="16"/>
    </row>
    <row r="68" spans="1:11" ht="12.75">
      <c r="A68" s="123"/>
      <c r="B68" s="120"/>
      <c r="C68" s="283" t="s">
        <v>248</v>
      </c>
      <c r="D68" s="284"/>
      <c r="E68" s="284"/>
      <c r="F68" s="285"/>
      <c r="G68" s="283" t="s">
        <v>237</v>
      </c>
      <c r="H68" s="285"/>
      <c r="I68" s="129"/>
      <c r="J68" s="120"/>
      <c r="K68" s="120"/>
    </row>
    <row r="69" spans="1:11" ht="12.75">
      <c r="A69" s="2"/>
      <c r="B69" s="2"/>
      <c r="C69" s="7" t="s">
        <v>233</v>
      </c>
      <c r="D69" s="5" t="s">
        <v>233</v>
      </c>
      <c r="E69" s="120"/>
      <c r="F69" s="7"/>
      <c r="G69" s="8"/>
      <c r="H69" s="8"/>
      <c r="I69" s="129"/>
      <c r="J69" s="8"/>
      <c r="K69" s="8"/>
    </row>
    <row r="70" spans="1:11" ht="12.75">
      <c r="A70" s="2"/>
      <c r="B70" s="2"/>
      <c r="C70" s="8" t="s">
        <v>234</v>
      </c>
      <c r="D70" s="5" t="s">
        <v>234</v>
      </c>
      <c r="E70" s="98"/>
      <c r="F70" s="8"/>
      <c r="G70" s="8"/>
      <c r="H70" s="8"/>
      <c r="I70" s="129"/>
      <c r="J70" s="8" t="s">
        <v>225</v>
      </c>
      <c r="K70" s="8"/>
    </row>
    <row r="71" spans="1:11" ht="12.75">
      <c r="A71" s="2"/>
      <c r="B71" s="2"/>
      <c r="C71" s="8" t="s">
        <v>231</v>
      </c>
      <c r="D71" s="5" t="s">
        <v>231</v>
      </c>
      <c r="E71" s="8" t="s">
        <v>233</v>
      </c>
      <c r="F71" s="8" t="s">
        <v>233</v>
      </c>
      <c r="G71" s="8" t="s">
        <v>233</v>
      </c>
      <c r="H71" s="8" t="s">
        <v>233</v>
      </c>
      <c r="I71" s="129"/>
      <c r="J71" s="8" t="s">
        <v>48</v>
      </c>
      <c r="K71" s="8" t="s">
        <v>198</v>
      </c>
    </row>
    <row r="72" spans="1:11" ht="12.75">
      <c r="A72" s="2"/>
      <c r="B72" s="2"/>
      <c r="C72" s="8" t="s">
        <v>227</v>
      </c>
      <c r="D72" s="5" t="s">
        <v>232</v>
      </c>
      <c r="E72" s="8" t="s">
        <v>235</v>
      </c>
      <c r="F72" s="8" t="s">
        <v>236</v>
      </c>
      <c r="G72" s="8" t="s">
        <v>235</v>
      </c>
      <c r="H72" s="8" t="s">
        <v>236</v>
      </c>
      <c r="I72" s="129"/>
      <c r="J72" s="8" t="s">
        <v>223</v>
      </c>
      <c r="K72" s="8" t="s">
        <v>205</v>
      </c>
    </row>
    <row r="73" spans="1:11" ht="14.25">
      <c r="A73" s="4"/>
      <c r="B73" s="17" t="s">
        <v>159</v>
      </c>
      <c r="C73" s="9" t="s">
        <v>226</v>
      </c>
      <c r="D73" s="17" t="s">
        <v>226</v>
      </c>
      <c r="E73" s="9" t="s">
        <v>62</v>
      </c>
      <c r="F73" s="9" t="s">
        <v>48</v>
      </c>
      <c r="G73" s="9" t="s">
        <v>62</v>
      </c>
      <c r="H73" s="9" t="s">
        <v>48</v>
      </c>
      <c r="I73" s="129"/>
      <c r="J73" s="9" t="s">
        <v>224</v>
      </c>
      <c r="K73" s="83" t="s">
        <v>259</v>
      </c>
    </row>
    <row r="74" spans="1:11" ht="12.75">
      <c r="A74" s="2" t="s">
        <v>0</v>
      </c>
      <c r="B74" s="124">
        <f>C74+D74+E74+F74+G74+H74</f>
        <v>4</v>
      </c>
      <c r="C74" s="134">
        <v>0</v>
      </c>
      <c r="D74" s="47">
        <v>0</v>
      </c>
      <c r="E74" s="47">
        <v>0</v>
      </c>
      <c r="F74" s="47">
        <v>1</v>
      </c>
      <c r="G74" s="47">
        <v>2</v>
      </c>
      <c r="H74" s="47">
        <v>1</v>
      </c>
      <c r="I74" s="39"/>
      <c r="J74" s="89">
        <f>K74-B74</f>
        <v>14</v>
      </c>
      <c r="K74" s="99">
        <v>18</v>
      </c>
    </row>
    <row r="75" spans="1:11" ht="12.75">
      <c r="A75" s="2" t="s">
        <v>1</v>
      </c>
      <c r="B75" s="124">
        <v>3</v>
      </c>
      <c r="C75" s="134">
        <v>0</v>
      </c>
      <c r="D75" s="47">
        <v>0</v>
      </c>
      <c r="E75" s="47">
        <v>0</v>
      </c>
      <c r="F75" s="47">
        <v>2</v>
      </c>
      <c r="G75" s="47">
        <v>0</v>
      </c>
      <c r="H75" s="47">
        <v>1</v>
      </c>
      <c r="I75" s="39"/>
      <c r="J75" s="89">
        <f aca="true" t="shared" si="2" ref="J75:J92">K75-B75</f>
        <v>19</v>
      </c>
      <c r="K75" s="99">
        <v>22</v>
      </c>
    </row>
    <row r="76" spans="1:11" ht="12.75">
      <c r="A76" s="2" t="s">
        <v>2</v>
      </c>
      <c r="B76" s="124">
        <f>C76+D76+E76+F76+G76+H76</f>
        <v>0</v>
      </c>
      <c r="C76" s="134">
        <v>0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39"/>
      <c r="J76" s="89">
        <f t="shared" si="2"/>
        <v>1</v>
      </c>
      <c r="K76" s="99">
        <v>1</v>
      </c>
    </row>
    <row r="77" spans="1:11" ht="12.75">
      <c r="A77" s="2" t="s">
        <v>3</v>
      </c>
      <c r="B77" s="124">
        <v>8</v>
      </c>
      <c r="C77" s="134">
        <v>0</v>
      </c>
      <c r="D77" s="47">
        <v>0</v>
      </c>
      <c r="E77" s="47">
        <v>1</v>
      </c>
      <c r="F77" s="47">
        <v>0</v>
      </c>
      <c r="G77" s="47">
        <v>3</v>
      </c>
      <c r="H77" s="47">
        <v>4</v>
      </c>
      <c r="I77" s="39"/>
      <c r="J77" s="89">
        <f t="shared" si="2"/>
        <v>14</v>
      </c>
      <c r="K77" s="99">
        <v>22</v>
      </c>
    </row>
    <row r="78" spans="1:11" ht="12.75">
      <c r="A78" s="2" t="s">
        <v>4</v>
      </c>
      <c r="B78" s="124">
        <v>4</v>
      </c>
      <c r="C78" s="134">
        <v>0</v>
      </c>
      <c r="D78" s="47">
        <v>0</v>
      </c>
      <c r="E78" s="47">
        <v>0</v>
      </c>
      <c r="F78" s="47">
        <v>2</v>
      </c>
      <c r="G78" s="47">
        <v>0</v>
      </c>
      <c r="H78" s="47">
        <v>2</v>
      </c>
      <c r="I78" s="39"/>
      <c r="J78" s="89">
        <f t="shared" si="2"/>
        <v>22</v>
      </c>
      <c r="K78" s="99">
        <v>26</v>
      </c>
    </row>
    <row r="79" spans="1:11" ht="14.25">
      <c r="A79" s="2" t="s">
        <v>230</v>
      </c>
      <c r="B79" s="124">
        <v>1</v>
      </c>
      <c r="C79" s="134">
        <v>0</v>
      </c>
      <c r="D79" s="47">
        <v>0</v>
      </c>
      <c r="E79" s="47">
        <v>0</v>
      </c>
      <c r="F79" s="47">
        <v>0</v>
      </c>
      <c r="G79" s="47">
        <v>0</v>
      </c>
      <c r="H79" s="47">
        <v>1</v>
      </c>
      <c r="I79" s="39"/>
      <c r="J79" s="89">
        <f t="shared" si="2"/>
        <v>19</v>
      </c>
      <c r="K79" s="99">
        <v>20</v>
      </c>
    </row>
    <row r="80" spans="1:11" ht="12.75">
      <c r="A80" s="2" t="s">
        <v>6</v>
      </c>
      <c r="B80" s="124">
        <f>C80+D80+E80+F80+G80+H80</f>
        <v>2</v>
      </c>
      <c r="C80" s="134">
        <v>0</v>
      </c>
      <c r="D80" s="47">
        <v>0</v>
      </c>
      <c r="E80" s="47">
        <v>0</v>
      </c>
      <c r="F80" s="47">
        <v>0</v>
      </c>
      <c r="G80" s="47">
        <v>0</v>
      </c>
      <c r="H80" s="47">
        <v>2</v>
      </c>
      <c r="I80" s="39"/>
      <c r="J80" s="89">
        <f t="shared" si="2"/>
        <v>12</v>
      </c>
      <c r="K80" s="99">
        <v>14</v>
      </c>
    </row>
    <row r="81" spans="1:11" ht="12.75">
      <c r="A81" s="3" t="s">
        <v>7</v>
      </c>
      <c r="B81" s="124">
        <v>4</v>
      </c>
      <c r="C81" s="134">
        <v>0</v>
      </c>
      <c r="D81" s="47">
        <v>0</v>
      </c>
      <c r="E81" s="47">
        <v>0</v>
      </c>
      <c r="F81" s="47">
        <v>1</v>
      </c>
      <c r="G81" s="47">
        <v>0</v>
      </c>
      <c r="H81" s="47">
        <v>3</v>
      </c>
      <c r="I81" s="39"/>
      <c r="J81" s="89">
        <f t="shared" si="2"/>
        <v>14</v>
      </c>
      <c r="K81" s="99">
        <v>18</v>
      </c>
    </row>
    <row r="82" spans="1:11" ht="12.75">
      <c r="A82" s="2" t="s">
        <v>8</v>
      </c>
      <c r="B82" s="124">
        <v>2</v>
      </c>
      <c r="C82" s="134">
        <v>0</v>
      </c>
      <c r="D82" s="47">
        <v>1</v>
      </c>
      <c r="E82" s="47">
        <v>0</v>
      </c>
      <c r="F82" s="47">
        <v>0</v>
      </c>
      <c r="G82" s="47">
        <v>0</v>
      </c>
      <c r="H82" s="47">
        <v>1</v>
      </c>
      <c r="I82" s="39"/>
      <c r="J82" s="89">
        <f t="shared" si="2"/>
        <v>13</v>
      </c>
      <c r="K82" s="99">
        <v>15</v>
      </c>
    </row>
    <row r="83" spans="1:11" ht="12.75">
      <c r="A83" s="2" t="s">
        <v>9</v>
      </c>
      <c r="B83" s="124">
        <v>1</v>
      </c>
      <c r="C83" s="134">
        <v>0</v>
      </c>
      <c r="D83" s="47">
        <v>0</v>
      </c>
      <c r="E83" s="47">
        <v>0</v>
      </c>
      <c r="F83" s="47">
        <v>0</v>
      </c>
      <c r="G83" s="47">
        <v>0</v>
      </c>
      <c r="H83" s="47">
        <v>1</v>
      </c>
      <c r="I83" s="39"/>
      <c r="J83" s="89">
        <f t="shared" si="2"/>
        <v>14</v>
      </c>
      <c r="K83" s="99">
        <v>15</v>
      </c>
    </row>
    <row r="84" spans="1:11" ht="12.75">
      <c r="A84" s="2" t="s">
        <v>10</v>
      </c>
      <c r="B84" s="124">
        <v>10</v>
      </c>
      <c r="C84" s="134">
        <v>0</v>
      </c>
      <c r="D84" s="47">
        <v>0</v>
      </c>
      <c r="E84" s="47">
        <v>0</v>
      </c>
      <c r="F84" s="47">
        <v>1</v>
      </c>
      <c r="G84" s="47">
        <v>3</v>
      </c>
      <c r="H84" s="47">
        <v>6</v>
      </c>
      <c r="I84" s="39"/>
      <c r="J84" s="89">
        <f t="shared" si="2"/>
        <v>16</v>
      </c>
      <c r="K84" s="99">
        <v>26</v>
      </c>
    </row>
    <row r="85" spans="1:11" ht="12.75">
      <c r="A85" s="3" t="s">
        <v>11</v>
      </c>
      <c r="B85" s="124">
        <v>6</v>
      </c>
      <c r="C85" s="134">
        <v>0</v>
      </c>
      <c r="D85" s="47">
        <v>0</v>
      </c>
      <c r="E85" s="47">
        <v>0</v>
      </c>
      <c r="F85" s="47">
        <v>2</v>
      </c>
      <c r="G85" s="47">
        <v>3</v>
      </c>
      <c r="H85" s="47">
        <v>1</v>
      </c>
      <c r="I85" s="39"/>
      <c r="J85" s="89">
        <f t="shared" si="2"/>
        <v>27</v>
      </c>
      <c r="K85" s="99">
        <v>33</v>
      </c>
    </row>
    <row r="86" spans="1:11" ht="12.75">
      <c r="A86" s="2" t="s">
        <v>12</v>
      </c>
      <c r="B86" s="124">
        <v>8</v>
      </c>
      <c r="C86" s="134">
        <v>0</v>
      </c>
      <c r="D86" s="47">
        <v>0</v>
      </c>
      <c r="E86" s="47">
        <v>1</v>
      </c>
      <c r="F86" s="47">
        <v>0</v>
      </c>
      <c r="G86" s="47">
        <v>1</v>
      </c>
      <c r="H86" s="47">
        <v>6</v>
      </c>
      <c r="I86" s="39"/>
      <c r="J86" s="89">
        <f t="shared" si="2"/>
        <v>18</v>
      </c>
      <c r="K86" s="99">
        <v>26</v>
      </c>
    </row>
    <row r="87" spans="1:11" ht="12.75">
      <c r="A87" s="2" t="s">
        <v>13</v>
      </c>
      <c r="B87" s="124">
        <v>11</v>
      </c>
      <c r="C87" s="134">
        <v>0</v>
      </c>
      <c r="D87" s="47">
        <v>0</v>
      </c>
      <c r="E87" s="47">
        <v>0</v>
      </c>
      <c r="F87" s="47">
        <v>1</v>
      </c>
      <c r="G87" s="47">
        <v>2</v>
      </c>
      <c r="H87" s="47">
        <v>8</v>
      </c>
      <c r="I87" s="39"/>
      <c r="J87" s="89">
        <f t="shared" si="2"/>
        <v>25</v>
      </c>
      <c r="K87" s="99">
        <v>36</v>
      </c>
    </row>
    <row r="88" spans="1:11" ht="12.75">
      <c r="A88" s="2" t="s">
        <v>14</v>
      </c>
      <c r="B88" s="124">
        <v>9</v>
      </c>
      <c r="C88" s="134">
        <v>0</v>
      </c>
      <c r="D88" s="47">
        <v>0</v>
      </c>
      <c r="E88" s="47">
        <v>0</v>
      </c>
      <c r="F88" s="47">
        <v>2</v>
      </c>
      <c r="G88" s="47">
        <v>4</v>
      </c>
      <c r="H88" s="47">
        <v>3</v>
      </c>
      <c r="I88" s="39"/>
      <c r="J88" s="89">
        <f t="shared" si="2"/>
        <v>16</v>
      </c>
      <c r="K88" s="99">
        <v>25</v>
      </c>
    </row>
    <row r="89" spans="1:11" ht="14.25">
      <c r="A89" s="3" t="s">
        <v>229</v>
      </c>
      <c r="B89" s="124">
        <v>10</v>
      </c>
      <c r="C89" s="134">
        <v>0</v>
      </c>
      <c r="D89" s="47">
        <v>1</v>
      </c>
      <c r="E89" s="47">
        <v>0</v>
      </c>
      <c r="F89" s="47">
        <v>2</v>
      </c>
      <c r="G89" s="47">
        <v>5</v>
      </c>
      <c r="H89" s="47">
        <v>2</v>
      </c>
      <c r="I89" s="39"/>
      <c r="J89" s="89">
        <f t="shared" si="2"/>
        <v>13</v>
      </c>
      <c r="K89" s="99">
        <v>23</v>
      </c>
    </row>
    <row r="90" spans="1:11" ht="12.75">
      <c r="A90" s="2" t="s">
        <v>15</v>
      </c>
      <c r="B90" s="124">
        <v>17</v>
      </c>
      <c r="C90" s="134">
        <v>0</v>
      </c>
      <c r="D90" s="47">
        <v>3</v>
      </c>
      <c r="E90" s="47">
        <v>0</v>
      </c>
      <c r="F90" s="47">
        <v>4</v>
      </c>
      <c r="G90" s="47">
        <v>4</v>
      </c>
      <c r="H90" s="47">
        <v>6</v>
      </c>
      <c r="I90" s="39"/>
      <c r="J90" s="89">
        <f t="shared" si="2"/>
        <v>27</v>
      </c>
      <c r="K90" s="99">
        <v>44</v>
      </c>
    </row>
    <row r="91" spans="1:11" ht="12.75">
      <c r="A91" s="2" t="s">
        <v>16</v>
      </c>
      <c r="B91" s="124">
        <v>9</v>
      </c>
      <c r="C91" s="134">
        <v>0</v>
      </c>
      <c r="D91" s="47">
        <v>3</v>
      </c>
      <c r="E91" s="47">
        <v>0</v>
      </c>
      <c r="F91" s="47">
        <v>0</v>
      </c>
      <c r="G91" s="47">
        <v>5</v>
      </c>
      <c r="H91" s="47">
        <v>1</v>
      </c>
      <c r="I91" s="39"/>
      <c r="J91" s="89">
        <f t="shared" si="2"/>
        <v>16</v>
      </c>
      <c r="K91" s="99">
        <v>25</v>
      </c>
    </row>
    <row r="92" spans="1:11" ht="12.75">
      <c r="A92" s="2" t="s">
        <v>17</v>
      </c>
      <c r="B92" s="124">
        <v>9</v>
      </c>
      <c r="C92" s="134">
        <v>0</v>
      </c>
      <c r="D92" s="47">
        <v>0</v>
      </c>
      <c r="E92" s="47">
        <v>1</v>
      </c>
      <c r="F92" s="47">
        <v>1</v>
      </c>
      <c r="G92" s="47">
        <v>4</v>
      </c>
      <c r="H92" s="47">
        <v>2</v>
      </c>
      <c r="I92" s="39"/>
      <c r="J92" s="89">
        <f t="shared" si="2"/>
        <v>10</v>
      </c>
      <c r="K92" s="99">
        <v>19</v>
      </c>
    </row>
    <row r="93" spans="1:11" ht="12.75">
      <c r="A93" s="6" t="s">
        <v>23</v>
      </c>
      <c r="B93" s="122">
        <f>C93+D93+E93+F93+G93+H93</f>
        <v>117</v>
      </c>
      <c r="C93" s="121">
        <f aca="true" t="shared" si="3" ref="C93:H93">SUM(C74:C92)</f>
        <v>0</v>
      </c>
      <c r="D93" s="119">
        <f t="shared" si="3"/>
        <v>8</v>
      </c>
      <c r="E93" s="119">
        <f t="shared" si="3"/>
        <v>3</v>
      </c>
      <c r="F93" s="119">
        <f t="shared" si="3"/>
        <v>19</v>
      </c>
      <c r="G93" s="119">
        <f t="shared" si="3"/>
        <v>36</v>
      </c>
      <c r="H93" s="119">
        <f t="shared" si="3"/>
        <v>51</v>
      </c>
      <c r="I93" s="39"/>
      <c r="J93" s="119">
        <f>SUM(J74:J92)</f>
        <v>310</v>
      </c>
      <c r="K93" s="122">
        <f>SUM(K74:K92)</f>
        <v>428</v>
      </c>
    </row>
    <row r="94" spans="1:2" ht="12.75">
      <c r="A94" s="19" t="s">
        <v>238</v>
      </c>
      <c r="B94" s="20"/>
    </row>
    <row r="95" spans="1:2" ht="12.75">
      <c r="A95" s="19" t="s">
        <v>239</v>
      </c>
      <c r="B95" s="20"/>
    </row>
    <row r="96" ht="12.75">
      <c r="B96" s="26">
        <f>SUM(B74:B92)</f>
        <v>118</v>
      </c>
    </row>
    <row r="98" ht="12.75">
      <c r="A98" s="14" t="s">
        <v>336</v>
      </c>
    </row>
    <row r="99" spans="1:10" ht="12.75">
      <c r="A99" s="16"/>
      <c r="B99" s="16"/>
      <c r="C99" s="11"/>
      <c r="D99" s="11"/>
      <c r="E99" s="11"/>
      <c r="F99" s="11"/>
      <c r="G99" s="11"/>
      <c r="H99" s="11"/>
      <c r="I99" s="129"/>
      <c r="J99" s="16"/>
    </row>
    <row r="100" spans="1:11" ht="12.75">
      <c r="A100" s="123"/>
      <c r="B100" s="120"/>
      <c r="C100" s="283" t="s">
        <v>248</v>
      </c>
      <c r="D100" s="284"/>
      <c r="E100" s="284"/>
      <c r="F100" s="285"/>
      <c r="G100" s="283" t="s">
        <v>237</v>
      </c>
      <c r="H100" s="285"/>
      <c r="I100" s="129"/>
      <c r="J100" s="120"/>
      <c r="K100" s="120"/>
    </row>
    <row r="101" spans="1:11" ht="12.75">
      <c r="A101" s="2"/>
      <c r="B101" s="2"/>
      <c r="C101" s="7" t="s">
        <v>233</v>
      </c>
      <c r="D101" s="5" t="s">
        <v>233</v>
      </c>
      <c r="E101" s="120"/>
      <c r="F101" s="7"/>
      <c r="G101" s="8"/>
      <c r="H101" s="8"/>
      <c r="I101" s="129"/>
      <c r="J101" s="8"/>
      <c r="K101" s="8"/>
    </row>
    <row r="102" spans="1:11" ht="12.75">
      <c r="A102" s="2"/>
      <c r="B102" s="2"/>
      <c r="C102" s="8" t="s">
        <v>234</v>
      </c>
      <c r="D102" s="5" t="s">
        <v>234</v>
      </c>
      <c r="E102" s="98"/>
      <c r="F102" s="8"/>
      <c r="G102" s="8"/>
      <c r="H102" s="8"/>
      <c r="I102" s="129"/>
      <c r="J102" s="8" t="s">
        <v>225</v>
      </c>
      <c r="K102" s="8"/>
    </row>
    <row r="103" spans="1:11" ht="12.75">
      <c r="A103" s="2"/>
      <c r="B103" s="2"/>
      <c r="C103" s="8" t="s">
        <v>231</v>
      </c>
      <c r="D103" s="5" t="s">
        <v>231</v>
      </c>
      <c r="E103" s="8" t="s">
        <v>233</v>
      </c>
      <c r="F103" s="8" t="s">
        <v>233</v>
      </c>
      <c r="G103" s="8" t="s">
        <v>233</v>
      </c>
      <c r="H103" s="8" t="s">
        <v>233</v>
      </c>
      <c r="I103" s="129"/>
      <c r="J103" s="8" t="s">
        <v>48</v>
      </c>
      <c r="K103" s="8" t="s">
        <v>198</v>
      </c>
    </row>
    <row r="104" spans="1:11" ht="12.75">
      <c r="A104" s="2"/>
      <c r="B104" s="2"/>
      <c r="C104" s="8" t="s">
        <v>227</v>
      </c>
      <c r="D104" s="5" t="s">
        <v>232</v>
      </c>
      <c r="E104" s="8" t="s">
        <v>235</v>
      </c>
      <c r="F104" s="8" t="s">
        <v>236</v>
      </c>
      <c r="G104" s="8" t="s">
        <v>235</v>
      </c>
      <c r="H104" s="8" t="s">
        <v>236</v>
      </c>
      <c r="I104" s="129"/>
      <c r="J104" s="8" t="s">
        <v>223</v>
      </c>
      <c r="K104" s="8" t="s">
        <v>205</v>
      </c>
    </row>
    <row r="105" spans="1:11" ht="14.25">
      <c r="A105" s="4"/>
      <c r="B105" s="17" t="s">
        <v>159</v>
      </c>
      <c r="C105" s="9" t="s">
        <v>226</v>
      </c>
      <c r="D105" s="17" t="s">
        <v>226</v>
      </c>
      <c r="E105" s="9" t="s">
        <v>62</v>
      </c>
      <c r="F105" s="9" t="s">
        <v>48</v>
      </c>
      <c r="G105" s="9" t="s">
        <v>62</v>
      </c>
      <c r="H105" s="9" t="s">
        <v>48</v>
      </c>
      <c r="I105" s="129"/>
      <c r="J105" s="9" t="s">
        <v>224</v>
      </c>
      <c r="K105" s="83" t="s">
        <v>259</v>
      </c>
    </row>
    <row r="106" spans="1:11" ht="12.75">
      <c r="A106" s="2" t="s">
        <v>0</v>
      </c>
      <c r="B106" s="124">
        <f>C106+D106+E106+F106+G106+H106</f>
        <v>4</v>
      </c>
      <c r="C106" s="134">
        <v>0</v>
      </c>
      <c r="D106" s="47">
        <v>0</v>
      </c>
      <c r="E106" s="47">
        <v>0</v>
      </c>
      <c r="F106" s="47">
        <v>1</v>
      </c>
      <c r="G106" s="47">
        <v>2</v>
      </c>
      <c r="H106" s="47">
        <v>1</v>
      </c>
      <c r="I106" s="39"/>
      <c r="J106" s="89">
        <f>K106-B106</f>
        <v>14</v>
      </c>
      <c r="K106" s="99">
        <v>18</v>
      </c>
    </row>
    <row r="107" spans="1:11" ht="12.75">
      <c r="A107" s="2" t="s">
        <v>1</v>
      </c>
      <c r="B107" s="124">
        <f aca="true" t="shared" si="4" ref="B107:B125">C107+D107+E107+F107+G107+H107</f>
        <v>2</v>
      </c>
      <c r="C107" s="134">
        <v>0</v>
      </c>
      <c r="D107" s="47">
        <v>0</v>
      </c>
      <c r="E107" s="47">
        <v>0</v>
      </c>
      <c r="F107" s="47">
        <v>2</v>
      </c>
      <c r="G107" s="47">
        <v>0</v>
      </c>
      <c r="H107" s="47">
        <v>0</v>
      </c>
      <c r="I107" s="39"/>
      <c r="J107" s="89">
        <f aca="true" t="shared" si="5" ref="J107:J124">K107-B107</f>
        <v>20</v>
      </c>
      <c r="K107" s="99">
        <v>22</v>
      </c>
    </row>
    <row r="108" spans="1:11" ht="12.75">
      <c r="A108" s="2" t="s">
        <v>2</v>
      </c>
      <c r="B108" s="124">
        <f t="shared" si="4"/>
        <v>0</v>
      </c>
      <c r="C108" s="134">
        <v>0</v>
      </c>
      <c r="D108" s="47">
        <v>0</v>
      </c>
      <c r="E108" s="47">
        <v>0</v>
      </c>
      <c r="F108" s="47">
        <v>0</v>
      </c>
      <c r="G108" s="47">
        <v>0</v>
      </c>
      <c r="H108" s="47">
        <v>0</v>
      </c>
      <c r="I108" s="39"/>
      <c r="J108" s="89">
        <f t="shared" si="5"/>
        <v>1</v>
      </c>
      <c r="K108" s="99">
        <v>1</v>
      </c>
    </row>
    <row r="109" spans="1:11" ht="12.75">
      <c r="A109" s="2" t="s">
        <v>3</v>
      </c>
      <c r="B109" s="124">
        <f t="shared" si="4"/>
        <v>6</v>
      </c>
      <c r="C109" s="134">
        <v>0</v>
      </c>
      <c r="D109" s="47">
        <v>2</v>
      </c>
      <c r="E109" s="47">
        <v>0</v>
      </c>
      <c r="F109" s="47">
        <v>1</v>
      </c>
      <c r="G109" s="47">
        <v>2</v>
      </c>
      <c r="H109" s="47">
        <v>1</v>
      </c>
      <c r="I109" s="39"/>
      <c r="J109" s="89">
        <f t="shared" si="5"/>
        <v>16</v>
      </c>
      <c r="K109" s="99">
        <v>22</v>
      </c>
    </row>
    <row r="110" spans="1:11" ht="12.75">
      <c r="A110" s="2" t="s">
        <v>4</v>
      </c>
      <c r="B110" s="124">
        <f t="shared" si="4"/>
        <v>5</v>
      </c>
      <c r="C110" s="134">
        <v>0</v>
      </c>
      <c r="D110" s="47">
        <v>0</v>
      </c>
      <c r="E110" s="47">
        <v>0</v>
      </c>
      <c r="F110" s="47">
        <v>2</v>
      </c>
      <c r="G110" s="47">
        <v>0</v>
      </c>
      <c r="H110" s="47">
        <v>3</v>
      </c>
      <c r="I110" s="39"/>
      <c r="J110" s="89">
        <f t="shared" si="5"/>
        <v>21</v>
      </c>
      <c r="K110" s="99">
        <v>26</v>
      </c>
    </row>
    <row r="111" spans="1:11" ht="14.25">
      <c r="A111" s="2" t="s">
        <v>230</v>
      </c>
      <c r="B111" s="124">
        <f t="shared" si="4"/>
        <v>3</v>
      </c>
      <c r="C111" s="134">
        <v>0</v>
      </c>
      <c r="D111" s="47">
        <v>0</v>
      </c>
      <c r="E111" s="47">
        <v>0</v>
      </c>
      <c r="F111" s="47">
        <v>0</v>
      </c>
      <c r="G111" s="47">
        <v>1</v>
      </c>
      <c r="H111" s="47">
        <v>2</v>
      </c>
      <c r="I111" s="39"/>
      <c r="J111" s="89">
        <f t="shared" si="5"/>
        <v>17</v>
      </c>
      <c r="K111" s="99">
        <v>20</v>
      </c>
    </row>
    <row r="112" spans="1:11" ht="12.75">
      <c r="A112" s="2" t="s">
        <v>6</v>
      </c>
      <c r="B112" s="124">
        <f t="shared" si="4"/>
        <v>2</v>
      </c>
      <c r="C112" s="134">
        <v>0</v>
      </c>
      <c r="D112" s="47">
        <v>0</v>
      </c>
      <c r="E112" s="47">
        <v>0</v>
      </c>
      <c r="F112" s="47">
        <v>0</v>
      </c>
      <c r="G112" s="47">
        <v>0</v>
      </c>
      <c r="H112" s="47">
        <v>2</v>
      </c>
      <c r="I112" s="39"/>
      <c r="J112" s="89">
        <f t="shared" si="5"/>
        <v>12</v>
      </c>
      <c r="K112" s="99">
        <v>14</v>
      </c>
    </row>
    <row r="113" spans="1:11" ht="12.75">
      <c r="A113" s="3" t="s">
        <v>7</v>
      </c>
      <c r="B113" s="124">
        <f t="shared" si="4"/>
        <v>5</v>
      </c>
      <c r="C113" s="134">
        <v>0</v>
      </c>
      <c r="D113" s="47">
        <v>0</v>
      </c>
      <c r="E113" s="47">
        <v>0</v>
      </c>
      <c r="F113" s="47">
        <v>2</v>
      </c>
      <c r="G113" s="47">
        <v>0</v>
      </c>
      <c r="H113" s="47">
        <v>3</v>
      </c>
      <c r="I113" s="39"/>
      <c r="J113" s="89">
        <f t="shared" si="5"/>
        <v>13</v>
      </c>
      <c r="K113" s="99">
        <v>18</v>
      </c>
    </row>
    <row r="114" spans="1:11" ht="12.75">
      <c r="A114" s="2" t="s">
        <v>8</v>
      </c>
      <c r="B114" s="124">
        <f t="shared" si="4"/>
        <v>1</v>
      </c>
      <c r="C114" s="134">
        <v>0</v>
      </c>
      <c r="D114" s="47">
        <v>1</v>
      </c>
      <c r="E114" s="47">
        <v>0</v>
      </c>
      <c r="F114" s="47">
        <v>0</v>
      </c>
      <c r="G114" s="47">
        <v>0</v>
      </c>
      <c r="H114" s="47">
        <v>0</v>
      </c>
      <c r="I114" s="39"/>
      <c r="J114" s="89">
        <f t="shared" si="5"/>
        <v>14</v>
      </c>
      <c r="K114" s="99">
        <v>15</v>
      </c>
    </row>
    <row r="115" spans="1:11" ht="12.75">
      <c r="A115" s="2" t="s">
        <v>9</v>
      </c>
      <c r="B115" s="124">
        <f t="shared" si="4"/>
        <v>2</v>
      </c>
      <c r="C115" s="134">
        <v>0</v>
      </c>
      <c r="D115" s="47">
        <v>0</v>
      </c>
      <c r="E115" s="47">
        <v>0</v>
      </c>
      <c r="F115" s="47">
        <v>0</v>
      </c>
      <c r="G115" s="47">
        <v>0</v>
      </c>
      <c r="H115" s="47">
        <v>2</v>
      </c>
      <c r="I115" s="39"/>
      <c r="J115" s="89">
        <f t="shared" si="5"/>
        <v>13</v>
      </c>
      <c r="K115" s="99">
        <v>15</v>
      </c>
    </row>
    <row r="116" spans="1:11" ht="12.75">
      <c r="A116" s="2" t="s">
        <v>10</v>
      </c>
      <c r="B116" s="124">
        <f t="shared" si="4"/>
        <v>10</v>
      </c>
      <c r="C116" s="134">
        <v>0</v>
      </c>
      <c r="D116" s="47">
        <v>0</v>
      </c>
      <c r="E116" s="47">
        <v>0</v>
      </c>
      <c r="F116" s="47">
        <v>3</v>
      </c>
      <c r="G116" s="47">
        <v>3</v>
      </c>
      <c r="H116" s="47">
        <v>4</v>
      </c>
      <c r="I116" s="39"/>
      <c r="J116" s="89">
        <f t="shared" si="5"/>
        <v>16</v>
      </c>
      <c r="K116" s="99">
        <v>26</v>
      </c>
    </row>
    <row r="117" spans="1:11" ht="12.75">
      <c r="A117" s="3" t="s">
        <v>11</v>
      </c>
      <c r="B117" s="124">
        <f t="shared" si="4"/>
        <v>8</v>
      </c>
      <c r="C117" s="134">
        <v>0</v>
      </c>
      <c r="D117" s="47">
        <v>0</v>
      </c>
      <c r="E117" s="47">
        <v>0</v>
      </c>
      <c r="F117" s="47">
        <v>2</v>
      </c>
      <c r="G117" s="47">
        <v>3</v>
      </c>
      <c r="H117" s="47">
        <v>3</v>
      </c>
      <c r="I117" s="39"/>
      <c r="J117" s="89">
        <f t="shared" si="5"/>
        <v>25</v>
      </c>
      <c r="K117" s="99">
        <v>33</v>
      </c>
    </row>
    <row r="118" spans="1:11" ht="12.75">
      <c r="A118" s="2" t="s">
        <v>12</v>
      </c>
      <c r="B118" s="124">
        <f t="shared" si="4"/>
        <v>9</v>
      </c>
      <c r="C118" s="134">
        <v>0</v>
      </c>
      <c r="D118" s="47">
        <v>0</v>
      </c>
      <c r="E118" s="47">
        <v>1</v>
      </c>
      <c r="F118" s="47">
        <v>1</v>
      </c>
      <c r="G118" s="47">
        <v>1</v>
      </c>
      <c r="H118" s="47">
        <v>6</v>
      </c>
      <c r="I118" s="39"/>
      <c r="J118" s="89">
        <f t="shared" si="5"/>
        <v>17</v>
      </c>
      <c r="K118" s="99">
        <v>26</v>
      </c>
    </row>
    <row r="119" spans="1:11" ht="12.75">
      <c r="A119" s="2" t="s">
        <v>13</v>
      </c>
      <c r="B119" s="124">
        <f t="shared" si="4"/>
        <v>9</v>
      </c>
      <c r="C119" s="134">
        <v>0</v>
      </c>
      <c r="D119" s="47">
        <v>0</v>
      </c>
      <c r="E119" s="47">
        <v>0</v>
      </c>
      <c r="F119" s="47">
        <v>3</v>
      </c>
      <c r="G119" s="47">
        <v>2</v>
      </c>
      <c r="H119" s="47">
        <v>4</v>
      </c>
      <c r="I119" s="39"/>
      <c r="J119" s="89">
        <f t="shared" si="5"/>
        <v>27</v>
      </c>
      <c r="K119" s="99">
        <v>36</v>
      </c>
    </row>
    <row r="120" spans="1:11" ht="12.75">
      <c r="A120" s="2" t="s">
        <v>14</v>
      </c>
      <c r="B120" s="124">
        <f t="shared" si="4"/>
        <v>10</v>
      </c>
      <c r="C120" s="134">
        <v>0</v>
      </c>
      <c r="D120" s="47">
        <v>1</v>
      </c>
      <c r="E120" s="47">
        <v>0</v>
      </c>
      <c r="F120" s="47">
        <v>2</v>
      </c>
      <c r="G120" s="47">
        <v>3</v>
      </c>
      <c r="H120" s="47">
        <v>4</v>
      </c>
      <c r="I120" s="39"/>
      <c r="J120" s="89">
        <f t="shared" si="5"/>
        <v>15</v>
      </c>
      <c r="K120" s="99">
        <v>25</v>
      </c>
    </row>
    <row r="121" spans="1:11" ht="14.25">
      <c r="A121" s="3" t="s">
        <v>229</v>
      </c>
      <c r="B121" s="124">
        <f t="shared" si="4"/>
        <v>11</v>
      </c>
      <c r="C121" s="134">
        <v>0</v>
      </c>
      <c r="D121" s="47">
        <v>1</v>
      </c>
      <c r="E121" s="47">
        <v>0</v>
      </c>
      <c r="F121" s="47">
        <v>1</v>
      </c>
      <c r="G121" s="47">
        <v>5</v>
      </c>
      <c r="H121" s="47">
        <v>4</v>
      </c>
      <c r="I121" s="39"/>
      <c r="J121" s="89">
        <f t="shared" si="5"/>
        <v>12</v>
      </c>
      <c r="K121" s="99">
        <v>23</v>
      </c>
    </row>
    <row r="122" spans="1:11" ht="12.75">
      <c r="A122" s="2" t="s">
        <v>15</v>
      </c>
      <c r="B122" s="124">
        <f t="shared" si="4"/>
        <v>15</v>
      </c>
      <c r="C122" s="134">
        <v>0</v>
      </c>
      <c r="D122" s="47">
        <v>1</v>
      </c>
      <c r="E122" s="47">
        <v>1</v>
      </c>
      <c r="F122" s="47">
        <v>2</v>
      </c>
      <c r="G122" s="47">
        <v>5</v>
      </c>
      <c r="H122" s="47">
        <v>6</v>
      </c>
      <c r="I122" s="39"/>
      <c r="J122" s="89">
        <f t="shared" si="5"/>
        <v>29</v>
      </c>
      <c r="K122" s="99">
        <v>44</v>
      </c>
    </row>
    <row r="123" spans="1:11" ht="12.75">
      <c r="A123" s="2" t="s">
        <v>16</v>
      </c>
      <c r="B123" s="124">
        <f t="shared" si="4"/>
        <v>8</v>
      </c>
      <c r="C123" s="134">
        <v>0</v>
      </c>
      <c r="D123" s="47">
        <v>3</v>
      </c>
      <c r="E123" s="47">
        <v>1</v>
      </c>
      <c r="F123" s="47">
        <v>1</v>
      </c>
      <c r="G123" s="47">
        <v>3</v>
      </c>
      <c r="H123" s="47">
        <v>0</v>
      </c>
      <c r="I123" s="39"/>
      <c r="J123" s="89">
        <f t="shared" si="5"/>
        <v>17</v>
      </c>
      <c r="K123" s="99">
        <v>25</v>
      </c>
    </row>
    <row r="124" spans="1:11" ht="12.75">
      <c r="A124" s="2" t="s">
        <v>17</v>
      </c>
      <c r="B124" s="124">
        <f t="shared" si="4"/>
        <v>8</v>
      </c>
      <c r="C124" s="134">
        <v>0</v>
      </c>
      <c r="D124" s="47">
        <v>1</v>
      </c>
      <c r="E124" s="47">
        <v>0</v>
      </c>
      <c r="F124" s="47">
        <v>2</v>
      </c>
      <c r="G124" s="47">
        <v>3</v>
      </c>
      <c r="H124" s="47">
        <v>2</v>
      </c>
      <c r="I124" s="39"/>
      <c r="J124" s="89">
        <f t="shared" si="5"/>
        <v>11</v>
      </c>
      <c r="K124" s="99">
        <v>19</v>
      </c>
    </row>
    <row r="125" spans="1:11" ht="12.75">
      <c r="A125" s="6" t="s">
        <v>23</v>
      </c>
      <c r="B125" s="122">
        <f t="shared" si="4"/>
        <v>118</v>
      </c>
      <c r="C125" s="121">
        <f aca="true" t="shared" si="6" ref="C125:H125">SUM(C106:C124)</f>
        <v>0</v>
      </c>
      <c r="D125" s="119">
        <f t="shared" si="6"/>
        <v>10</v>
      </c>
      <c r="E125" s="119">
        <f t="shared" si="6"/>
        <v>3</v>
      </c>
      <c r="F125" s="119">
        <f t="shared" si="6"/>
        <v>25</v>
      </c>
      <c r="G125" s="119">
        <f t="shared" si="6"/>
        <v>33</v>
      </c>
      <c r="H125" s="119">
        <f t="shared" si="6"/>
        <v>47</v>
      </c>
      <c r="I125" s="39"/>
      <c r="J125" s="119">
        <f>SUM(J106:J124)</f>
        <v>310</v>
      </c>
      <c r="K125" s="122">
        <f>SUM(K106:K124)</f>
        <v>428</v>
      </c>
    </row>
    <row r="126" spans="1:2" ht="12.75">
      <c r="A126" s="19" t="s">
        <v>238</v>
      </c>
      <c r="B126" s="20"/>
    </row>
    <row r="127" spans="1:2" ht="12.75">
      <c r="A127" s="19" t="s">
        <v>239</v>
      </c>
      <c r="B127" s="20"/>
    </row>
    <row r="128" spans="1:2" ht="12.75">
      <c r="A128" s="20"/>
      <c r="B128" s="20"/>
    </row>
    <row r="129" spans="1:2" ht="12.75">
      <c r="A129" s="20"/>
      <c r="B129" s="20"/>
    </row>
    <row r="130" spans="1:10" ht="12.75">
      <c r="A130" s="14" t="s">
        <v>333</v>
      </c>
      <c r="B130" s="14"/>
      <c r="C130" s="11"/>
      <c r="D130" s="11"/>
      <c r="E130" s="11"/>
      <c r="F130" s="11"/>
      <c r="G130" s="11"/>
      <c r="H130" s="11"/>
      <c r="I130" s="129"/>
      <c r="J130" s="14"/>
    </row>
    <row r="131" spans="1:10" ht="12.75">
      <c r="A131" s="16"/>
      <c r="B131" s="16"/>
      <c r="C131" s="11"/>
      <c r="D131" s="11"/>
      <c r="E131" s="11"/>
      <c r="F131" s="11"/>
      <c r="G131" s="11"/>
      <c r="H131" s="11"/>
      <c r="I131" s="129"/>
      <c r="J131" s="16"/>
    </row>
    <row r="132" spans="1:11" ht="12.75">
      <c r="A132" s="123"/>
      <c r="B132" s="120"/>
      <c r="C132" s="283" t="s">
        <v>248</v>
      </c>
      <c r="D132" s="284"/>
      <c r="E132" s="284"/>
      <c r="F132" s="285"/>
      <c r="G132" s="283" t="s">
        <v>237</v>
      </c>
      <c r="H132" s="285"/>
      <c r="I132" s="129"/>
      <c r="J132" s="120"/>
      <c r="K132" s="120"/>
    </row>
    <row r="133" spans="1:11" ht="12.75">
      <c r="A133" s="2"/>
      <c r="B133" s="2"/>
      <c r="C133" s="7" t="s">
        <v>233</v>
      </c>
      <c r="D133" s="5" t="s">
        <v>233</v>
      </c>
      <c r="E133" s="120"/>
      <c r="F133" s="7"/>
      <c r="G133" s="8"/>
      <c r="H133" s="8"/>
      <c r="I133" s="129"/>
      <c r="J133" s="8"/>
      <c r="K133" s="8"/>
    </row>
    <row r="134" spans="1:11" ht="12.75">
      <c r="A134" s="2"/>
      <c r="B134" s="2"/>
      <c r="C134" s="8" t="s">
        <v>234</v>
      </c>
      <c r="D134" s="5" t="s">
        <v>234</v>
      </c>
      <c r="E134" s="98"/>
      <c r="F134" s="8"/>
      <c r="G134" s="8"/>
      <c r="H134" s="8"/>
      <c r="I134" s="129"/>
      <c r="J134" s="8" t="s">
        <v>225</v>
      </c>
      <c r="K134" s="8"/>
    </row>
    <row r="135" spans="1:11" ht="12.75">
      <c r="A135" s="2"/>
      <c r="B135" s="2"/>
      <c r="C135" s="8" t="s">
        <v>231</v>
      </c>
      <c r="D135" s="5" t="s">
        <v>231</v>
      </c>
      <c r="E135" s="8" t="s">
        <v>233</v>
      </c>
      <c r="F135" s="8" t="s">
        <v>233</v>
      </c>
      <c r="G135" s="8" t="s">
        <v>233</v>
      </c>
      <c r="H135" s="8" t="s">
        <v>233</v>
      </c>
      <c r="I135" s="129"/>
      <c r="J135" s="8" t="s">
        <v>48</v>
      </c>
      <c r="K135" s="8" t="s">
        <v>198</v>
      </c>
    </row>
    <row r="136" spans="1:11" ht="12.75">
      <c r="A136" s="2"/>
      <c r="B136" s="2"/>
      <c r="C136" s="8" t="s">
        <v>227</v>
      </c>
      <c r="D136" s="5" t="s">
        <v>232</v>
      </c>
      <c r="E136" s="8" t="s">
        <v>235</v>
      </c>
      <c r="F136" s="8" t="s">
        <v>236</v>
      </c>
      <c r="G136" s="8" t="s">
        <v>235</v>
      </c>
      <c r="H136" s="8" t="s">
        <v>236</v>
      </c>
      <c r="I136" s="129"/>
      <c r="J136" s="8" t="s">
        <v>223</v>
      </c>
      <c r="K136" s="8" t="s">
        <v>205</v>
      </c>
    </row>
    <row r="137" spans="1:11" ht="14.25">
      <c r="A137" s="4"/>
      <c r="B137" s="17" t="s">
        <v>159</v>
      </c>
      <c r="C137" s="9" t="s">
        <v>226</v>
      </c>
      <c r="D137" s="17" t="s">
        <v>226</v>
      </c>
      <c r="E137" s="9" t="s">
        <v>62</v>
      </c>
      <c r="F137" s="9" t="s">
        <v>48</v>
      </c>
      <c r="G137" s="9" t="s">
        <v>62</v>
      </c>
      <c r="H137" s="9" t="s">
        <v>48</v>
      </c>
      <c r="I137" s="129"/>
      <c r="J137" s="9" t="s">
        <v>224</v>
      </c>
      <c r="K137" s="83" t="s">
        <v>259</v>
      </c>
    </row>
    <row r="138" spans="1:11" ht="12.75">
      <c r="A138" s="2" t="s">
        <v>0</v>
      </c>
      <c r="B138" s="124">
        <f>C138+D138+E138+F138+G138+H138</f>
        <v>3</v>
      </c>
      <c r="C138" s="134">
        <v>0</v>
      </c>
      <c r="D138" s="47">
        <v>0</v>
      </c>
      <c r="E138" s="47">
        <v>0</v>
      </c>
      <c r="F138" s="47">
        <v>0</v>
      </c>
      <c r="G138" s="47">
        <v>2</v>
      </c>
      <c r="H138" s="47">
        <v>1</v>
      </c>
      <c r="I138" s="39"/>
      <c r="J138" s="89">
        <f>K138-B138</f>
        <v>15</v>
      </c>
      <c r="K138" s="99">
        <v>18</v>
      </c>
    </row>
    <row r="139" spans="1:11" ht="12.75">
      <c r="A139" s="2" t="s">
        <v>1</v>
      </c>
      <c r="B139" s="124">
        <f aca="true" t="shared" si="7" ref="B139:B157">C139+D139+E139+F139+G139+H139</f>
        <v>3</v>
      </c>
      <c r="C139" s="134">
        <v>0</v>
      </c>
      <c r="D139" s="47">
        <v>0</v>
      </c>
      <c r="E139" s="47">
        <v>0</v>
      </c>
      <c r="F139" s="47">
        <v>1</v>
      </c>
      <c r="G139" s="47">
        <v>0</v>
      </c>
      <c r="H139" s="47">
        <v>2</v>
      </c>
      <c r="I139" s="39"/>
      <c r="J139" s="89">
        <f aca="true" t="shared" si="8" ref="J139:J156">K139-B139</f>
        <v>19</v>
      </c>
      <c r="K139" s="99">
        <v>22</v>
      </c>
    </row>
    <row r="140" spans="1:11" ht="12.75">
      <c r="A140" s="2" t="s">
        <v>2</v>
      </c>
      <c r="B140" s="124">
        <f t="shared" si="7"/>
        <v>0</v>
      </c>
      <c r="C140" s="134">
        <v>0</v>
      </c>
      <c r="D140" s="47">
        <v>0</v>
      </c>
      <c r="E140" s="47">
        <v>0</v>
      </c>
      <c r="F140" s="47">
        <v>0</v>
      </c>
      <c r="G140" s="47">
        <v>0</v>
      </c>
      <c r="H140" s="47">
        <v>0</v>
      </c>
      <c r="I140" s="39"/>
      <c r="J140" s="89">
        <f t="shared" si="8"/>
        <v>1</v>
      </c>
      <c r="K140" s="99">
        <v>1</v>
      </c>
    </row>
    <row r="141" spans="1:11" ht="12.75">
      <c r="A141" s="2" t="s">
        <v>3</v>
      </c>
      <c r="B141" s="124">
        <f t="shared" si="7"/>
        <v>10</v>
      </c>
      <c r="C141" s="134">
        <v>0</v>
      </c>
      <c r="D141" s="47">
        <v>1</v>
      </c>
      <c r="E141" s="47">
        <v>0</v>
      </c>
      <c r="F141" s="47">
        <v>1</v>
      </c>
      <c r="G141" s="47">
        <v>3</v>
      </c>
      <c r="H141" s="47">
        <v>5</v>
      </c>
      <c r="I141" s="39"/>
      <c r="J141" s="89">
        <f t="shared" si="8"/>
        <v>12</v>
      </c>
      <c r="K141" s="99">
        <v>22</v>
      </c>
    </row>
    <row r="142" spans="1:11" ht="12.75">
      <c r="A142" s="2" t="s">
        <v>4</v>
      </c>
      <c r="B142" s="124">
        <f t="shared" si="7"/>
        <v>5</v>
      </c>
      <c r="C142" s="134">
        <v>0</v>
      </c>
      <c r="D142" s="47">
        <v>0</v>
      </c>
      <c r="E142" s="47">
        <v>0</v>
      </c>
      <c r="F142" s="47">
        <v>1</v>
      </c>
      <c r="G142" s="47">
        <v>0</v>
      </c>
      <c r="H142" s="47">
        <v>4</v>
      </c>
      <c r="I142" s="39"/>
      <c r="J142" s="89">
        <f t="shared" si="8"/>
        <v>21</v>
      </c>
      <c r="K142" s="99">
        <v>26</v>
      </c>
    </row>
    <row r="143" spans="1:11" ht="14.25">
      <c r="A143" s="2" t="s">
        <v>230</v>
      </c>
      <c r="B143" s="124">
        <f t="shared" si="7"/>
        <v>4</v>
      </c>
      <c r="C143" s="134">
        <v>0</v>
      </c>
      <c r="D143" s="47">
        <v>0</v>
      </c>
      <c r="E143" s="47">
        <v>0</v>
      </c>
      <c r="F143" s="47">
        <v>0</v>
      </c>
      <c r="G143" s="47">
        <v>1</v>
      </c>
      <c r="H143" s="47">
        <v>3</v>
      </c>
      <c r="I143" s="39"/>
      <c r="J143" s="89">
        <f t="shared" si="8"/>
        <v>16</v>
      </c>
      <c r="K143" s="99">
        <v>20</v>
      </c>
    </row>
    <row r="144" spans="1:11" ht="12.75">
      <c r="A144" s="2" t="s">
        <v>6</v>
      </c>
      <c r="B144" s="124">
        <f t="shared" si="7"/>
        <v>2</v>
      </c>
      <c r="C144" s="134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2</v>
      </c>
      <c r="I144" s="39"/>
      <c r="J144" s="89">
        <f t="shared" si="8"/>
        <v>12</v>
      </c>
      <c r="K144" s="99">
        <v>14</v>
      </c>
    </row>
    <row r="145" spans="1:11" ht="12.75">
      <c r="A145" s="3" t="s">
        <v>7</v>
      </c>
      <c r="B145" s="124">
        <f t="shared" si="7"/>
        <v>4</v>
      </c>
      <c r="C145" s="134">
        <v>0</v>
      </c>
      <c r="D145" s="47">
        <v>0</v>
      </c>
      <c r="E145" s="47">
        <v>1</v>
      </c>
      <c r="F145" s="47">
        <v>0</v>
      </c>
      <c r="G145" s="47">
        <v>0</v>
      </c>
      <c r="H145" s="47">
        <v>3</v>
      </c>
      <c r="I145" s="39"/>
      <c r="J145" s="89">
        <f t="shared" si="8"/>
        <v>14</v>
      </c>
      <c r="K145" s="99">
        <v>18</v>
      </c>
    </row>
    <row r="146" spans="1:11" ht="12.75">
      <c r="A146" s="2" t="s">
        <v>8</v>
      </c>
      <c r="B146" s="124">
        <f t="shared" si="7"/>
        <v>4</v>
      </c>
      <c r="C146" s="134">
        <v>0</v>
      </c>
      <c r="D146" s="47">
        <v>1</v>
      </c>
      <c r="E146" s="47">
        <v>0</v>
      </c>
      <c r="F146" s="47">
        <v>0</v>
      </c>
      <c r="G146" s="47">
        <v>0</v>
      </c>
      <c r="H146" s="47">
        <v>3</v>
      </c>
      <c r="I146" s="39"/>
      <c r="J146" s="89">
        <f t="shared" si="8"/>
        <v>11</v>
      </c>
      <c r="K146" s="99">
        <v>15</v>
      </c>
    </row>
    <row r="147" spans="1:11" ht="12.75">
      <c r="A147" s="2" t="s">
        <v>9</v>
      </c>
      <c r="B147" s="124">
        <f t="shared" si="7"/>
        <v>1</v>
      </c>
      <c r="C147" s="134">
        <v>0</v>
      </c>
      <c r="D147" s="47">
        <v>0</v>
      </c>
      <c r="E147" s="47">
        <v>0</v>
      </c>
      <c r="F147" s="47">
        <v>0</v>
      </c>
      <c r="G147" s="47">
        <v>0</v>
      </c>
      <c r="H147" s="47">
        <v>1</v>
      </c>
      <c r="I147" s="39"/>
      <c r="J147" s="89">
        <f t="shared" si="8"/>
        <v>14</v>
      </c>
      <c r="K147" s="99">
        <v>15</v>
      </c>
    </row>
    <row r="148" spans="1:11" ht="12.75">
      <c r="A148" s="2" t="s">
        <v>10</v>
      </c>
      <c r="B148" s="124">
        <f t="shared" si="7"/>
        <v>11</v>
      </c>
      <c r="C148" s="134">
        <v>0</v>
      </c>
      <c r="D148" s="47">
        <v>1</v>
      </c>
      <c r="E148" s="47">
        <v>0</v>
      </c>
      <c r="F148" s="47">
        <v>2</v>
      </c>
      <c r="G148" s="47">
        <v>2</v>
      </c>
      <c r="H148" s="47">
        <v>6</v>
      </c>
      <c r="I148" s="39"/>
      <c r="J148" s="89">
        <f t="shared" si="8"/>
        <v>15</v>
      </c>
      <c r="K148" s="99">
        <v>26</v>
      </c>
    </row>
    <row r="149" spans="1:11" ht="12.75">
      <c r="A149" s="3" t="s">
        <v>11</v>
      </c>
      <c r="B149" s="124">
        <f t="shared" si="7"/>
        <v>9</v>
      </c>
      <c r="C149" s="134">
        <v>0</v>
      </c>
      <c r="D149" s="47">
        <v>1</v>
      </c>
      <c r="E149" s="47">
        <v>0</v>
      </c>
      <c r="F149" s="47">
        <v>1</v>
      </c>
      <c r="G149" s="47">
        <v>2</v>
      </c>
      <c r="H149" s="47">
        <v>5</v>
      </c>
      <c r="I149" s="39"/>
      <c r="J149" s="89">
        <f t="shared" si="8"/>
        <v>24</v>
      </c>
      <c r="K149" s="99">
        <v>33</v>
      </c>
    </row>
    <row r="150" spans="1:11" ht="12.75">
      <c r="A150" s="2" t="s">
        <v>12</v>
      </c>
      <c r="B150" s="124">
        <f t="shared" si="7"/>
        <v>5</v>
      </c>
      <c r="C150" s="134">
        <v>0</v>
      </c>
      <c r="D150" s="47">
        <v>0</v>
      </c>
      <c r="E150" s="47">
        <v>0</v>
      </c>
      <c r="F150" s="47">
        <v>0</v>
      </c>
      <c r="G150" s="47">
        <v>2</v>
      </c>
      <c r="H150" s="47">
        <v>3</v>
      </c>
      <c r="I150" s="39"/>
      <c r="J150" s="89">
        <f t="shared" si="8"/>
        <v>21</v>
      </c>
      <c r="K150" s="99">
        <v>26</v>
      </c>
    </row>
    <row r="151" spans="1:11" ht="12.75">
      <c r="A151" s="2" t="s">
        <v>13</v>
      </c>
      <c r="B151" s="124">
        <f t="shared" si="7"/>
        <v>9</v>
      </c>
      <c r="C151" s="134">
        <v>0</v>
      </c>
      <c r="D151" s="47">
        <v>0</v>
      </c>
      <c r="E151" s="47">
        <v>1</v>
      </c>
      <c r="F151" s="47">
        <v>1</v>
      </c>
      <c r="G151" s="47">
        <v>2</v>
      </c>
      <c r="H151" s="47">
        <v>5</v>
      </c>
      <c r="I151" s="39"/>
      <c r="J151" s="89">
        <f t="shared" si="8"/>
        <v>28</v>
      </c>
      <c r="K151" s="99">
        <v>37</v>
      </c>
    </row>
    <row r="152" spans="1:11" ht="12.75">
      <c r="A152" s="2" t="s">
        <v>14</v>
      </c>
      <c r="B152" s="124">
        <f t="shared" si="7"/>
        <v>7</v>
      </c>
      <c r="C152" s="134">
        <v>0</v>
      </c>
      <c r="D152" s="47">
        <v>1</v>
      </c>
      <c r="E152" s="47">
        <v>0</v>
      </c>
      <c r="F152" s="47">
        <v>1</v>
      </c>
      <c r="G152" s="47">
        <v>3</v>
      </c>
      <c r="H152" s="47">
        <v>2</v>
      </c>
      <c r="I152" s="39"/>
      <c r="J152" s="89">
        <f t="shared" si="8"/>
        <v>18</v>
      </c>
      <c r="K152" s="99">
        <v>25</v>
      </c>
    </row>
    <row r="153" spans="1:11" ht="14.25">
      <c r="A153" s="3" t="s">
        <v>229</v>
      </c>
      <c r="B153" s="124">
        <f t="shared" si="7"/>
        <v>10</v>
      </c>
      <c r="C153" s="134">
        <v>0</v>
      </c>
      <c r="D153" s="47">
        <v>0</v>
      </c>
      <c r="E153" s="47">
        <v>0</v>
      </c>
      <c r="F153" s="47">
        <v>2</v>
      </c>
      <c r="G153" s="47">
        <v>6</v>
      </c>
      <c r="H153" s="47">
        <v>2</v>
      </c>
      <c r="I153" s="39"/>
      <c r="J153" s="89">
        <f t="shared" si="8"/>
        <v>13</v>
      </c>
      <c r="K153" s="99">
        <v>23</v>
      </c>
    </row>
    <row r="154" spans="1:11" ht="12.75">
      <c r="A154" s="2" t="s">
        <v>15</v>
      </c>
      <c r="B154" s="124">
        <f t="shared" si="7"/>
        <v>12</v>
      </c>
      <c r="C154" s="134">
        <v>0</v>
      </c>
      <c r="D154" s="47">
        <v>1</v>
      </c>
      <c r="E154" s="47">
        <v>1</v>
      </c>
      <c r="F154" s="47">
        <v>2</v>
      </c>
      <c r="G154" s="47">
        <v>6</v>
      </c>
      <c r="H154" s="47">
        <v>2</v>
      </c>
      <c r="I154" s="39"/>
      <c r="J154" s="89">
        <f t="shared" si="8"/>
        <v>32</v>
      </c>
      <c r="K154" s="99">
        <v>44</v>
      </c>
    </row>
    <row r="155" spans="1:11" ht="12.75">
      <c r="A155" s="2" t="s">
        <v>16</v>
      </c>
      <c r="B155" s="124">
        <f t="shared" si="7"/>
        <v>7</v>
      </c>
      <c r="C155" s="134">
        <v>0</v>
      </c>
      <c r="D155" s="47">
        <v>2</v>
      </c>
      <c r="E155" s="47">
        <v>0</v>
      </c>
      <c r="F155" s="47">
        <v>0</v>
      </c>
      <c r="G155" s="47">
        <v>4</v>
      </c>
      <c r="H155" s="47">
        <v>1</v>
      </c>
      <c r="I155" s="39"/>
      <c r="J155" s="89">
        <f t="shared" si="8"/>
        <v>18</v>
      </c>
      <c r="K155" s="99">
        <v>25</v>
      </c>
    </row>
    <row r="156" spans="1:11" ht="12.75">
      <c r="A156" s="2" t="s">
        <v>17</v>
      </c>
      <c r="B156" s="124">
        <f t="shared" si="7"/>
        <v>6</v>
      </c>
      <c r="C156" s="134">
        <v>0</v>
      </c>
      <c r="D156" s="47">
        <v>0</v>
      </c>
      <c r="E156" s="47">
        <v>0</v>
      </c>
      <c r="F156" s="47">
        <v>2</v>
      </c>
      <c r="G156" s="47">
        <v>4</v>
      </c>
      <c r="H156" s="47">
        <v>0</v>
      </c>
      <c r="I156" s="39"/>
      <c r="J156" s="89">
        <f t="shared" si="8"/>
        <v>13</v>
      </c>
      <c r="K156" s="99">
        <v>19</v>
      </c>
    </row>
    <row r="157" spans="1:11" ht="12.75">
      <c r="A157" s="6" t="s">
        <v>23</v>
      </c>
      <c r="B157" s="122">
        <f t="shared" si="7"/>
        <v>112</v>
      </c>
      <c r="C157" s="121">
        <f aca="true" t="shared" si="9" ref="C157:H157">SUM(C138:C156)</f>
        <v>0</v>
      </c>
      <c r="D157" s="119">
        <f t="shared" si="9"/>
        <v>8</v>
      </c>
      <c r="E157" s="119">
        <f t="shared" si="9"/>
        <v>3</v>
      </c>
      <c r="F157" s="119">
        <f t="shared" si="9"/>
        <v>14</v>
      </c>
      <c r="G157" s="119">
        <f t="shared" si="9"/>
        <v>37</v>
      </c>
      <c r="H157" s="119">
        <f t="shared" si="9"/>
        <v>50</v>
      </c>
      <c r="I157" s="39"/>
      <c r="J157" s="119">
        <f>SUM(J138:J156)</f>
        <v>317</v>
      </c>
      <c r="K157" s="122">
        <f>SUM(K138:K156)</f>
        <v>429</v>
      </c>
    </row>
    <row r="158" spans="1:2" ht="12.75">
      <c r="A158" s="19" t="s">
        <v>238</v>
      </c>
      <c r="B158" s="20"/>
    </row>
    <row r="159" spans="1:2" ht="12.75">
      <c r="A159" s="19" t="s">
        <v>239</v>
      </c>
      <c r="B159" s="20"/>
    </row>
    <row r="162" spans="1:10" ht="12.75">
      <c r="A162" s="14" t="s">
        <v>312</v>
      </c>
      <c r="B162" s="14"/>
      <c r="C162" s="11"/>
      <c r="D162" s="11"/>
      <c r="E162" s="11"/>
      <c r="F162" s="11"/>
      <c r="G162" s="11"/>
      <c r="H162" s="11"/>
      <c r="I162" s="129"/>
      <c r="J162" s="14"/>
    </row>
    <row r="163" spans="1:10" ht="12.75">
      <c r="A163" s="16"/>
      <c r="B163" s="16"/>
      <c r="C163" s="11"/>
      <c r="D163" s="11"/>
      <c r="E163" s="11"/>
      <c r="F163" s="11"/>
      <c r="G163" s="11"/>
      <c r="H163" s="11"/>
      <c r="I163" s="129"/>
      <c r="J163" s="16"/>
    </row>
    <row r="164" spans="1:11" ht="12.75">
      <c r="A164" s="123"/>
      <c r="B164" s="120"/>
      <c r="C164" s="283" t="s">
        <v>248</v>
      </c>
      <c r="D164" s="284"/>
      <c r="E164" s="284"/>
      <c r="F164" s="285"/>
      <c r="G164" s="283" t="s">
        <v>237</v>
      </c>
      <c r="H164" s="285"/>
      <c r="I164" s="129"/>
      <c r="J164" s="120"/>
      <c r="K164" s="120"/>
    </row>
    <row r="165" spans="1:11" ht="12.75">
      <c r="A165" s="2"/>
      <c r="B165" s="2"/>
      <c r="C165" s="7" t="s">
        <v>233</v>
      </c>
      <c r="D165" s="5" t="s">
        <v>233</v>
      </c>
      <c r="E165" s="120"/>
      <c r="F165" s="7"/>
      <c r="G165" s="8"/>
      <c r="H165" s="8"/>
      <c r="I165" s="129"/>
      <c r="J165" s="8"/>
      <c r="K165" s="8"/>
    </row>
    <row r="166" spans="1:11" ht="12.75">
      <c r="A166" s="2"/>
      <c r="B166" s="2"/>
      <c r="C166" s="8" t="s">
        <v>234</v>
      </c>
      <c r="D166" s="5" t="s">
        <v>234</v>
      </c>
      <c r="E166" s="98"/>
      <c r="F166" s="8"/>
      <c r="G166" s="8"/>
      <c r="H166" s="8"/>
      <c r="I166" s="129"/>
      <c r="J166" s="8" t="s">
        <v>225</v>
      </c>
      <c r="K166" s="8"/>
    </row>
    <row r="167" spans="1:11" ht="12.75">
      <c r="A167" s="2"/>
      <c r="B167" s="2"/>
      <c r="C167" s="8" t="s">
        <v>231</v>
      </c>
      <c r="D167" s="5" t="s">
        <v>231</v>
      </c>
      <c r="E167" s="8" t="s">
        <v>233</v>
      </c>
      <c r="F167" s="8" t="s">
        <v>233</v>
      </c>
      <c r="G167" s="8" t="s">
        <v>233</v>
      </c>
      <c r="H167" s="8" t="s">
        <v>233</v>
      </c>
      <c r="I167" s="129"/>
      <c r="J167" s="8" t="s">
        <v>48</v>
      </c>
      <c r="K167" s="8" t="s">
        <v>198</v>
      </c>
    </row>
    <row r="168" spans="1:11" ht="12.75">
      <c r="A168" s="2"/>
      <c r="B168" s="2"/>
      <c r="C168" s="8" t="s">
        <v>227</v>
      </c>
      <c r="D168" s="5" t="s">
        <v>232</v>
      </c>
      <c r="E168" s="8" t="s">
        <v>235</v>
      </c>
      <c r="F168" s="8" t="s">
        <v>236</v>
      </c>
      <c r="G168" s="8" t="s">
        <v>235</v>
      </c>
      <c r="H168" s="8" t="s">
        <v>236</v>
      </c>
      <c r="I168" s="129"/>
      <c r="J168" s="8" t="s">
        <v>223</v>
      </c>
      <c r="K168" s="8" t="s">
        <v>205</v>
      </c>
    </row>
    <row r="169" spans="1:11" ht="14.25">
      <c r="A169" s="4"/>
      <c r="B169" s="17" t="s">
        <v>159</v>
      </c>
      <c r="C169" s="9" t="s">
        <v>226</v>
      </c>
      <c r="D169" s="17" t="s">
        <v>226</v>
      </c>
      <c r="E169" s="9" t="s">
        <v>62</v>
      </c>
      <c r="F169" s="9" t="s">
        <v>48</v>
      </c>
      <c r="G169" s="9" t="s">
        <v>62</v>
      </c>
      <c r="H169" s="9" t="s">
        <v>48</v>
      </c>
      <c r="I169" s="129"/>
      <c r="J169" s="9" t="s">
        <v>224</v>
      </c>
      <c r="K169" s="83" t="s">
        <v>259</v>
      </c>
    </row>
    <row r="170" spans="1:11" ht="12.75">
      <c r="A170" s="2" t="s">
        <v>0</v>
      </c>
      <c r="B170" s="124">
        <f>C170+D170+E170+F170+G170+H170</f>
        <v>5</v>
      </c>
      <c r="C170" s="134">
        <v>0</v>
      </c>
      <c r="D170" s="47">
        <v>0</v>
      </c>
      <c r="E170" s="47">
        <v>0</v>
      </c>
      <c r="F170" s="47">
        <v>1</v>
      </c>
      <c r="G170" s="47">
        <v>2</v>
      </c>
      <c r="H170" s="47">
        <v>2</v>
      </c>
      <c r="I170" s="39"/>
      <c r="J170" s="89">
        <f>K170-B170</f>
        <v>13</v>
      </c>
      <c r="K170" s="99">
        <v>18</v>
      </c>
    </row>
    <row r="171" spans="1:11" ht="12.75">
      <c r="A171" s="2" t="s">
        <v>1</v>
      </c>
      <c r="B171" s="124">
        <f aca="true" t="shared" si="10" ref="B171:B189">C171+D171+E171+F171+G171+H171</f>
        <v>3</v>
      </c>
      <c r="C171" s="134">
        <v>0</v>
      </c>
      <c r="D171" s="47">
        <v>0</v>
      </c>
      <c r="E171" s="47">
        <v>0</v>
      </c>
      <c r="F171" s="47">
        <v>0</v>
      </c>
      <c r="G171" s="47">
        <v>0</v>
      </c>
      <c r="H171" s="47">
        <v>3</v>
      </c>
      <c r="I171" s="39"/>
      <c r="J171" s="89">
        <f aca="true" t="shared" si="11" ref="J171:J188">K171-B171</f>
        <v>19</v>
      </c>
      <c r="K171" s="99">
        <v>22</v>
      </c>
    </row>
    <row r="172" spans="1:11" ht="12.75">
      <c r="A172" s="2" t="s">
        <v>2</v>
      </c>
      <c r="B172" s="124">
        <f t="shared" si="10"/>
        <v>0</v>
      </c>
      <c r="C172" s="134">
        <v>0</v>
      </c>
      <c r="D172" s="47">
        <v>0</v>
      </c>
      <c r="E172" s="47">
        <v>0</v>
      </c>
      <c r="F172" s="47">
        <v>0</v>
      </c>
      <c r="G172" s="47">
        <v>0</v>
      </c>
      <c r="H172" s="47">
        <v>0</v>
      </c>
      <c r="I172" s="39"/>
      <c r="J172" s="89">
        <f t="shared" si="11"/>
        <v>1</v>
      </c>
      <c r="K172" s="99">
        <v>1</v>
      </c>
    </row>
    <row r="173" spans="1:11" ht="12.75">
      <c r="A173" s="2" t="s">
        <v>3</v>
      </c>
      <c r="B173" s="124">
        <f t="shared" si="10"/>
        <v>7</v>
      </c>
      <c r="C173" s="134">
        <v>0</v>
      </c>
      <c r="D173" s="47">
        <v>1</v>
      </c>
      <c r="E173" s="47">
        <v>1</v>
      </c>
      <c r="F173" s="47">
        <v>0</v>
      </c>
      <c r="G173" s="47">
        <v>3</v>
      </c>
      <c r="H173" s="47">
        <v>2</v>
      </c>
      <c r="I173" s="39"/>
      <c r="J173" s="89">
        <f t="shared" si="11"/>
        <v>15</v>
      </c>
      <c r="K173" s="99">
        <v>22</v>
      </c>
    </row>
    <row r="174" spans="1:11" ht="12.75">
      <c r="A174" s="2" t="s">
        <v>4</v>
      </c>
      <c r="B174" s="124">
        <f t="shared" si="10"/>
        <v>6</v>
      </c>
      <c r="C174" s="134">
        <v>0</v>
      </c>
      <c r="D174" s="47">
        <v>0</v>
      </c>
      <c r="E174" s="47">
        <v>1</v>
      </c>
      <c r="F174" s="47">
        <v>0</v>
      </c>
      <c r="G174" s="47">
        <v>0</v>
      </c>
      <c r="H174" s="47">
        <v>5</v>
      </c>
      <c r="I174" s="39"/>
      <c r="J174" s="89">
        <f t="shared" si="11"/>
        <v>20</v>
      </c>
      <c r="K174" s="99">
        <v>26</v>
      </c>
    </row>
    <row r="175" spans="1:11" ht="14.25">
      <c r="A175" s="2" t="s">
        <v>230</v>
      </c>
      <c r="B175" s="124">
        <f t="shared" si="10"/>
        <v>4</v>
      </c>
      <c r="C175" s="134">
        <v>0</v>
      </c>
      <c r="D175" s="47">
        <v>0</v>
      </c>
      <c r="E175" s="47">
        <v>0</v>
      </c>
      <c r="F175" s="47">
        <v>0</v>
      </c>
      <c r="G175" s="47">
        <v>1</v>
      </c>
      <c r="H175" s="47">
        <v>3</v>
      </c>
      <c r="I175" s="39"/>
      <c r="J175" s="89">
        <f t="shared" si="11"/>
        <v>16</v>
      </c>
      <c r="K175" s="99">
        <v>20</v>
      </c>
    </row>
    <row r="176" spans="1:11" ht="12.75">
      <c r="A176" s="2" t="s">
        <v>6</v>
      </c>
      <c r="B176" s="124">
        <f t="shared" si="10"/>
        <v>1</v>
      </c>
      <c r="C176" s="134">
        <v>0</v>
      </c>
      <c r="D176" s="47">
        <v>0</v>
      </c>
      <c r="E176" s="47">
        <v>0</v>
      </c>
      <c r="F176" s="47">
        <v>0</v>
      </c>
      <c r="G176" s="47">
        <v>0</v>
      </c>
      <c r="H176" s="47">
        <v>1</v>
      </c>
      <c r="I176" s="39"/>
      <c r="J176" s="89">
        <f t="shared" si="11"/>
        <v>13</v>
      </c>
      <c r="K176" s="99">
        <v>14</v>
      </c>
    </row>
    <row r="177" spans="1:11" ht="12.75">
      <c r="A177" s="3" t="s">
        <v>7</v>
      </c>
      <c r="B177" s="124">
        <f t="shared" si="10"/>
        <v>3</v>
      </c>
      <c r="C177" s="134">
        <v>0</v>
      </c>
      <c r="D177" s="47">
        <v>0</v>
      </c>
      <c r="E177" s="47">
        <v>0</v>
      </c>
      <c r="F177" s="47">
        <v>0</v>
      </c>
      <c r="G177" s="47">
        <v>0</v>
      </c>
      <c r="H177" s="47">
        <v>3</v>
      </c>
      <c r="I177" s="39"/>
      <c r="J177" s="89">
        <f t="shared" si="11"/>
        <v>15</v>
      </c>
      <c r="K177" s="99">
        <v>18</v>
      </c>
    </row>
    <row r="178" spans="1:11" ht="12.75">
      <c r="A178" s="2" t="s">
        <v>8</v>
      </c>
      <c r="B178" s="124">
        <f t="shared" si="10"/>
        <v>4</v>
      </c>
      <c r="C178" s="134">
        <v>0</v>
      </c>
      <c r="D178" s="47">
        <v>1</v>
      </c>
      <c r="E178" s="47">
        <v>0</v>
      </c>
      <c r="F178" s="47">
        <v>1</v>
      </c>
      <c r="G178" s="47">
        <v>0</v>
      </c>
      <c r="H178" s="47">
        <v>2</v>
      </c>
      <c r="I178" s="39"/>
      <c r="J178" s="89">
        <f t="shared" si="11"/>
        <v>11</v>
      </c>
      <c r="K178" s="99">
        <v>15</v>
      </c>
    </row>
    <row r="179" spans="1:11" ht="12.75">
      <c r="A179" s="2" t="s">
        <v>9</v>
      </c>
      <c r="B179" s="124">
        <f t="shared" si="10"/>
        <v>2</v>
      </c>
      <c r="C179" s="134">
        <v>0</v>
      </c>
      <c r="D179" s="47">
        <v>0</v>
      </c>
      <c r="E179" s="47">
        <v>0</v>
      </c>
      <c r="F179" s="47">
        <v>0</v>
      </c>
      <c r="G179" s="47">
        <v>0</v>
      </c>
      <c r="H179" s="47">
        <v>2</v>
      </c>
      <c r="I179" s="39"/>
      <c r="J179" s="89">
        <f t="shared" si="11"/>
        <v>13</v>
      </c>
      <c r="K179" s="99">
        <v>15</v>
      </c>
    </row>
    <row r="180" spans="1:11" ht="12.75">
      <c r="A180" s="2" t="s">
        <v>10</v>
      </c>
      <c r="B180" s="124">
        <f t="shared" si="10"/>
        <v>12</v>
      </c>
      <c r="C180" s="134">
        <v>0</v>
      </c>
      <c r="D180" s="47">
        <v>1</v>
      </c>
      <c r="E180" s="47">
        <v>0</v>
      </c>
      <c r="F180" s="47">
        <v>3</v>
      </c>
      <c r="G180" s="47">
        <v>2</v>
      </c>
      <c r="H180" s="47">
        <v>6</v>
      </c>
      <c r="I180" s="39"/>
      <c r="J180" s="89">
        <f t="shared" si="11"/>
        <v>14</v>
      </c>
      <c r="K180" s="99">
        <v>26</v>
      </c>
    </row>
    <row r="181" spans="1:11" ht="12.75">
      <c r="A181" s="3" t="s">
        <v>11</v>
      </c>
      <c r="B181" s="124">
        <f t="shared" si="10"/>
        <v>8</v>
      </c>
      <c r="C181" s="134">
        <v>0</v>
      </c>
      <c r="D181" s="47">
        <v>0</v>
      </c>
      <c r="E181" s="47">
        <v>0</v>
      </c>
      <c r="F181" s="47">
        <v>0</v>
      </c>
      <c r="G181" s="47">
        <v>4</v>
      </c>
      <c r="H181" s="47">
        <v>4</v>
      </c>
      <c r="I181" s="39"/>
      <c r="J181" s="89">
        <f t="shared" si="11"/>
        <v>25</v>
      </c>
      <c r="K181" s="99">
        <v>33</v>
      </c>
    </row>
    <row r="182" spans="1:11" ht="12.75">
      <c r="A182" s="2" t="s">
        <v>12</v>
      </c>
      <c r="B182" s="124">
        <f t="shared" si="10"/>
        <v>8</v>
      </c>
      <c r="C182" s="134">
        <v>0</v>
      </c>
      <c r="D182" s="47">
        <v>0</v>
      </c>
      <c r="E182" s="47">
        <v>1</v>
      </c>
      <c r="F182" s="47">
        <v>0</v>
      </c>
      <c r="G182" s="47">
        <v>1</v>
      </c>
      <c r="H182" s="47">
        <v>6</v>
      </c>
      <c r="I182" s="39"/>
      <c r="J182" s="89">
        <f t="shared" si="11"/>
        <v>18</v>
      </c>
      <c r="K182" s="99">
        <v>26</v>
      </c>
    </row>
    <row r="183" spans="1:11" ht="12.75">
      <c r="A183" s="2" t="s">
        <v>13</v>
      </c>
      <c r="B183" s="124">
        <f t="shared" si="10"/>
        <v>9</v>
      </c>
      <c r="C183" s="134">
        <v>0</v>
      </c>
      <c r="D183" s="47">
        <v>1</v>
      </c>
      <c r="E183" s="47">
        <v>1</v>
      </c>
      <c r="F183" s="47">
        <v>2</v>
      </c>
      <c r="G183" s="47">
        <v>1</v>
      </c>
      <c r="H183" s="47">
        <v>4</v>
      </c>
      <c r="I183" s="39"/>
      <c r="J183" s="89">
        <f t="shared" si="11"/>
        <v>28</v>
      </c>
      <c r="K183" s="99">
        <v>37</v>
      </c>
    </row>
    <row r="184" spans="1:11" ht="12.75">
      <c r="A184" s="2" t="s">
        <v>14</v>
      </c>
      <c r="B184" s="124">
        <f t="shared" si="10"/>
        <v>8</v>
      </c>
      <c r="C184" s="134">
        <v>0</v>
      </c>
      <c r="D184" s="47">
        <v>0</v>
      </c>
      <c r="E184" s="47">
        <v>0</v>
      </c>
      <c r="F184" s="47">
        <v>3</v>
      </c>
      <c r="G184" s="47">
        <v>4</v>
      </c>
      <c r="H184" s="47">
        <v>1</v>
      </c>
      <c r="I184" s="39"/>
      <c r="J184" s="89">
        <f t="shared" si="11"/>
        <v>17</v>
      </c>
      <c r="K184" s="99">
        <v>25</v>
      </c>
    </row>
    <row r="185" spans="1:11" ht="14.25">
      <c r="A185" s="3" t="s">
        <v>229</v>
      </c>
      <c r="B185" s="124">
        <f t="shared" si="10"/>
        <v>10</v>
      </c>
      <c r="C185" s="134">
        <v>0</v>
      </c>
      <c r="D185" s="47">
        <v>0</v>
      </c>
      <c r="E185" s="47">
        <v>0</v>
      </c>
      <c r="F185" s="47">
        <v>0</v>
      </c>
      <c r="G185" s="47">
        <v>7</v>
      </c>
      <c r="H185" s="47">
        <v>3</v>
      </c>
      <c r="I185" s="39"/>
      <c r="J185" s="89">
        <f t="shared" si="11"/>
        <v>13</v>
      </c>
      <c r="K185" s="99">
        <v>23</v>
      </c>
    </row>
    <row r="186" spans="1:11" ht="12.75">
      <c r="A186" s="2" t="s">
        <v>15</v>
      </c>
      <c r="B186" s="124">
        <f t="shared" si="10"/>
        <v>14</v>
      </c>
      <c r="C186" s="134">
        <v>0</v>
      </c>
      <c r="D186" s="47">
        <v>1</v>
      </c>
      <c r="E186" s="47">
        <v>1</v>
      </c>
      <c r="F186" s="47">
        <v>1</v>
      </c>
      <c r="G186" s="47">
        <v>8</v>
      </c>
      <c r="H186" s="47">
        <v>3</v>
      </c>
      <c r="I186" s="39"/>
      <c r="J186" s="89">
        <f t="shared" si="11"/>
        <v>30</v>
      </c>
      <c r="K186" s="99">
        <v>44</v>
      </c>
    </row>
    <row r="187" spans="1:11" ht="12.75">
      <c r="A187" s="2" t="s">
        <v>16</v>
      </c>
      <c r="B187" s="124">
        <f t="shared" si="10"/>
        <v>8</v>
      </c>
      <c r="C187" s="134">
        <v>0</v>
      </c>
      <c r="D187" s="47">
        <v>2</v>
      </c>
      <c r="E187" s="47">
        <v>0</v>
      </c>
      <c r="F187" s="47">
        <v>0</v>
      </c>
      <c r="G187" s="47">
        <v>4</v>
      </c>
      <c r="H187" s="47">
        <v>2</v>
      </c>
      <c r="I187" s="39"/>
      <c r="J187" s="89">
        <f t="shared" si="11"/>
        <v>17</v>
      </c>
      <c r="K187" s="99">
        <v>25</v>
      </c>
    </row>
    <row r="188" spans="1:11" ht="12.75">
      <c r="A188" s="2" t="s">
        <v>17</v>
      </c>
      <c r="B188" s="124">
        <f t="shared" si="10"/>
        <v>5</v>
      </c>
      <c r="C188" s="134">
        <v>0</v>
      </c>
      <c r="D188" s="47">
        <v>0</v>
      </c>
      <c r="E188" s="47">
        <v>0</v>
      </c>
      <c r="F188" s="47">
        <v>0</v>
      </c>
      <c r="G188" s="47">
        <v>5</v>
      </c>
      <c r="H188" s="47">
        <v>0</v>
      </c>
      <c r="I188" s="39"/>
      <c r="J188" s="89">
        <f t="shared" si="11"/>
        <v>14</v>
      </c>
      <c r="K188" s="99">
        <v>19</v>
      </c>
    </row>
    <row r="189" spans="1:11" ht="12.75">
      <c r="A189" s="6" t="s">
        <v>23</v>
      </c>
      <c r="B189" s="122">
        <f t="shared" si="10"/>
        <v>117</v>
      </c>
      <c r="C189" s="121">
        <f aca="true" t="shared" si="12" ref="C189:H189">SUM(C170:C188)</f>
        <v>0</v>
      </c>
      <c r="D189" s="119">
        <f t="shared" si="12"/>
        <v>7</v>
      </c>
      <c r="E189" s="119">
        <f t="shared" si="12"/>
        <v>5</v>
      </c>
      <c r="F189" s="119">
        <f t="shared" si="12"/>
        <v>11</v>
      </c>
      <c r="G189" s="119">
        <f t="shared" si="12"/>
        <v>42</v>
      </c>
      <c r="H189" s="119">
        <f t="shared" si="12"/>
        <v>52</v>
      </c>
      <c r="I189" s="39"/>
      <c r="J189" s="119">
        <f>SUM(J170:J188)</f>
        <v>312</v>
      </c>
      <c r="K189" s="122">
        <f>SUM(K170:K188)</f>
        <v>429</v>
      </c>
    </row>
    <row r="190" spans="1:2" ht="12.75">
      <c r="A190" s="19" t="s">
        <v>238</v>
      </c>
      <c r="B190" s="20"/>
    </row>
    <row r="191" spans="1:2" ht="12.75">
      <c r="A191" s="19" t="s">
        <v>239</v>
      </c>
      <c r="B191" s="20"/>
    </row>
    <row r="194" spans="1:10" ht="12.75">
      <c r="A194" s="14" t="s">
        <v>311</v>
      </c>
      <c r="B194" s="14"/>
      <c r="C194" s="11"/>
      <c r="D194" s="11"/>
      <c r="E194" s="11"/>
      <c r="F194" s="11"/>
      <c r="G194" s="11"/>
      <c r="H194" s="11"/>
      <c r="I194" s="129"/>
      <c r="J194" s="14"/>
    </row>
    <row r="195" spans="1:10" ht="12.75">
      <c r="A195" s="16"/>
      <c r="B195" s="16"/>
      <c r="C195" s="11"/>
      <c r="D195" s="11"/>
      <c r="E195" s="11"/>
      <c r="F195" s="11"/>
      <c r="G195" s="11"/>
      <c r="H195" s="11"/>
      <c r="I195" s="129"/>
      <c r="J195" s="16"/>
    </row>
    <row r="196" spans="1:11" ht="12.75">
      <c r="A196" s="123"/>
      <c r="B196" s="120"/>
      <c r="C196" s="283" t="s">
        <v>248</v>
      </c>
      <c r="D196" s="284"/>
      <c r="E196" s="284"/>
      <c r="F196" s="285"/>
      <c r="G196" s="283" t="s">
        <v>237</v>
      </c>
      <c r="H196" s="285"/>
      <c r="I196" s="129"/>
      <c r="J196" s="120"/>
      <c r="K196" s="120"/>
    </row>
    <row r="197" spans="1:11" ht="12.75">
      <c r="A197" s="2"/>
      <c r="B197" s="2"/>
      <c r="C197" s="7" t="s">
        <v>233</v>
      </c>
      <c r="D197" s="5" t="s">
        <v>233</v>
      </c>
      <c r="E197" s="120"/>
      <c r="F197" s="7"/>
      <c r="G197" s="8"/>
      <c r="H197" s="8"/>
      <c r="I197" s="129"/>
      <c r="J197" s="8"/>
      <c r="K197" s="8"/>
    </row>
    <row r="198" spans="1:11" ht="12.75">
      <c r="A198" s="2"/>
      <c r="B198" s="2"/>
      <c r="C198" s="8" t="s">
        <v>234</v>
      </c>
      <c r="D198" s="5" t="s">
        <v>234</v>
      </c>
      <c r="E198" s="98"/>
      <c r="F198" s="8"/>
      <c r="G198" s="8"/>
      <c r="H198" s="8"/>
      <c r="I198" s="129"/>
      <c r="J198" s="8" t="s">
        <v>225</v>
      </c>
      <c r="K198" s="8"/>
    </row>
    <row r="199" spans="1:11" ht="12.75">
      <c r="A199" s="2"/>
      <c r="B199" s="2"/>
      <c r="C199" s="8" t="s">
        <v>231</v>
      </c>
      <c r="D199" s="5" t="s">
        <v>231</v>
      </c>
      <c r="E199" s="8" t="s">
        <v>233</v>
      </c>
      <c r="F199" s="8" t="s">
        <v>233</v>
      </c>
      <c r="G199" s="8" t="s">
        <v>233</v>
      </c>
      <c r="H199" s="8" t="s">
        <v>233</v>
      </c>
      <c r="I199" s="129"/>
      <c r="J199" s="8" t="s">
        <v>48</v>
      </c>
      <c r="K199" s="8" t="s">
        <v>198</v>
      </c>
    </row>
    <row r="200" spans="1:11" ht="12.75">
      <c r="A200" s="2"/>
      <c r="B200" s="2"/>
      <c r="C200" s="8" t="s">
        <v>227</v>
      </c>
      <c r="D200" s="5" t="s">
        <v>232</v>
      </c>
      <c r="E200" s="8" t="s">
        <v>235</v>
      </c>
      <c r="F200" s="8" t="s">
        <v>236</v>
      </c>
      <c r="G200" s="8" t="s">
        <v>235</v>
      </c>
      <c r="H200" s="8" t="s">
        <v>236</v>
      </c>
      <c r="I200" s="129"/>
      <c r="J200" s="8" t="s">
        <v>223</v>
      </c>
      <c r="K200" s="8" t="s">
        <v>205</v>
      </c>
    </row>
    <row r="201" spans="1:11" ht="14.25">
      <c r="A201" s="4"/>
      <c r="B201" s="17" t="s">
        <v>159</v>
      </c>
      <c r="C201" s="9" t="s">
        <v>226</v>
      </c>
      <c r="D201" s="17" t="s">
        <v>226</v>
      </c>
      <c r="E201" s="9" t="s">
        <v>62</v>
      </c>
      <c r="F201" s="9" t="s">
        <v>48</v>
      </c>
      <c r="G201" s="9" t="s">
        <v>62</v>
      </c>
      <c r="H201" s="9" t="s">
        <v>48</v>
      </c>
      <c r="I201" s="129"/>
      <c r="J201" s="9" t="s">
        <v>224</v>
      </c>
      <c r="K201" s="83" t="s">
        <v>259</v>
      </c>
    </row>
    <row r="202" spans="1:11" ht="12.75">
      <c r="A202" s="2" t="s">
        <v>0</v>
      </c>
      <c r="B202" s="124">
        <f>C202+D202+E202+F202+G202+H202</f>
        <v>4</v>
      </c>
      <c r="C202" s="134">
        <v>0</v>
      </c>
      <c r="D202" s="47">
        <v>0</v>
      </c>
      <c r="E202" s="47">
        <v>0</v>
      </c>
      <c r="F202" s="47">
        <v>1</v>
      </c>
      <c r="G202" s="47">
        <v>2</v>
      </c>
      <c r="H202" s="47">
        <v>1</v>
      </c>
      <c r="I202" s="39"/>
      <c r="J202" s="89">
        <f>K202-B202</f>
        <v>14</v>
      </c>
      <c r="K202" s="99">
        <v>18</v>
      </c>
    </row>
    <row r="203" spans="1:11" ht="12.75">
      <c r="A203" s="2" t="s">
        <v>1</v>
      </c>
      <c r="B203" s="124">
        <f aca="true" t="shared" si="13" ref="B203:B221">C203+D203+E203+F203+G203+H203</f>
        <v>0</v>
      </c>
      <c r="C203" s="134">
        <v>0</v>
      </c>
      <c r="D203" s="47">
        <v>0</v>
      </c>
      <c r="E203" s="47">
        <v>0</v>
      </c>
      <c r="F203" s="47">
        <v>0</v>
      </c>
      <c r="G203" s="47">
        <v>0</v>
      </c>
      <c r="H203" s="47">
        <v>0</v>
      </c>
      <c r="I203" s="39"/>
      <c r="J203" s="89">
        <f aca="true" t="shared" si="14" ref="J203:J220">K203-B203</f>
        <v>22</v>
      </c>
      <c r="K203" s="99">
        <v>22</v>
      </c>
    </row>
    <row r="204" spans="1:11" ht="12.75">
      <c r="A204" s="2" t="s">
        <v>2</v>
      </c>
      <c r="B204" s="124">
        <f t="shared" si="13"/>
        <v>0</v>
      </c>
      <c r="C204" s="134">
        <v>0</v>
      </c>
      <c r="D204" s="47">
        <v>0</v>
      </c>
      <c r="E204" s="47">
        <v>0</v>
      </c>
      <c r="F204" s="47">
        <v>0</v>
      </c>
      <c r="G204" s="47">
        <v>0</v>
      </c>
      <c r="H204" s="47">
        <v>0</v>
      </c>
      <c r="I204" s="39"/>
      <c r="J204" s="89">
        <f t="shared" si="14"/>
        <v>1</v>
      </c>
      <c r="K204" s="99">
        <v>1</v>
      </c>
    </row>
    <row r="205" spans="1:11" ht="12.75">
      <c r="A205" s="2" t="s">
        <v>3</v>
      </c>
      <c r="B205" s="124">
        <f t="shared" si="13"/>
        <v>7</v>
      </c>
      <c r="C205" s="134">
        <v>0</v>
      </c>
      <c r="D205" s="47">
        <v>1</v>
      </c>
      <c r="E205" s="47">
        <v>1</v>
      </c>
      <c r="F205" s="47">
        <v>1</v>
      </c>
      <c r="G205" s="47">
        <v>3</v>
      </c>
      <c r="H205" s="47">
        <v>1</v>
      </c>
      <c r="I205" s="39"/>
      <c r="J205" s="89">
        <f t="shared" si="14"/>
        <v>15</v>
      </c>
      <c r="K205" s="99">
        <v>22</v>
      </c>
    </row>
    <row r="206" spans="1:11" ht="12.75">
      <c r="A206" s="2" t="s">
        <v>4</v>
      </c>
      <c r="B206" s="124">
        <f t="shared" si="13"/>
        <v>5</v>
      </c>
      <c r="C206" s="134">
        <v>0</v>
      </c>
      <c r="D206" s="47">
        <v>0</v>
      </c>
      <c r="E206" s="47">
        <v>1</v>
      </c>
      <c r="F206" s="47">
        <v>0</v>
      </c>
      <c r="G206" s="47">
        <v>0</v>
      </c>
      <c r="H206" s="47">
        <v>4</v>
      </c>
      <c r="I206" s="39"/>
      <c r="J206" s="89">
        <f t="shared" si="14"/>
        <v>21</v>
      </c>
      <c r="K206" s="99">
        <v>26</v>
      </c>
    </row>
    <row r="207" spans="1:11" ht="14.25">
      <c r="A207" s="2" t="s">
        <v>230</v>
      </c>
      <c r="B207" s="124">
        <f t="shared" si="13"/>
        <v>5</v>
      </c>
      <c r="C207" s="134">
        <v>0</v>
      </c>
      <c r="D207" s="47">
        <v>0</v>
      </c>
      <c r="E207" s="47">
        <v>0</v>
      </c>
      <c r="F207" s="47">
        <v>0</v>
      </c>
      <c r="G207" s="47">
        <v>1</v>
      </c>
      <c r="H207" s="47">
        <v>4</v>
      </c>
      <c r="I207" s="39"/>
      <c r="J207" s="89">
        <f t="shared" si="14"/>
        <v>15</v>
      </c>
      <c r="K207" s="99">
        <v>20</v>
      </c>
    </row>
    <row r="208" spans="1:11" ht="12.75">
      <c r="A208" s="2" t="s">
        <v>6</v>
      </c>
      <c r="B208" s="124">
        <f t="shared" si="13"/>
        <v>0</v>
      </c>
      <c r="C208" s="134">
        <v>0</v>
      </c>
      <c r="D208" s="47">
        <v>0</v>
      </c>
      <c r="E208" s="47">
        <v>0</v>
      </c>
      <c r="F208" s="47">
        <v>0</v>
      </c>
      <c r="G208" s="47">
        <v>0</v>
      </c>
      <c r="H208" s="47">
        <v>0</v>
      </c>
      <c r="I208" s="39"/>
      <c r="J208" s="89">
        <f t="shared" si="14"/>
        <v>14</v>
      </c>
      <c r="K208" s="99">
        <v>14</v>
      </c>
    </row>
    <row r="209" spans="1:11" ht="12.75">
      <c r="A209" s="3" t="s">
        <v>7</v>
      </c>
      <c r="B209" s="124">
        <f t="shared" si="13"/>
        <v>5</v>
      </c>
      <c r="C209" s="134">
        <v>0</v>
      </c>
      <c r="D209" s="47">
        <v>0</v>
      </c>
      <c r="E209" s="47">
        <v>0</v>
      </c>
      <c r="F209" s="47">
        <v>0</v>
      </c>
      <c r="G209" s="47">
        <v>0</v>
      </c>
      <c r="H209" s="47">
        <v>5</v>
      </c>
      <c r="I209" s="39"/>
      <c r="J209" s="89">
        <f t="shared" si="14"/>
        <v>13</v>
      </c>
      <c r="K209" s="99">
        <v>18</v>
      </c>
    </row>
    <row r="210" spans="1:11" ht="12.75">
      <c r="A210" s="2" t="s">
        <v>8</v>
      </c>
      <c r="B210" s="124">
        <f t="shared" si="13"/>
        <v>2</v>
      </c>
      <c r="C210" s="134">
        <v>0</v>
      </c>
      <c r="D210" s="47">
        <v>1</v>
      </c>
      <c r="E210" s="47">
        <v>0</v>
      </c>
      <c r="F210" s="47">
        <v>0</v>
      </c>
      <c r="G210" s="47">
        <v>0</v>
      </c>
      <c r="H210" s="47">
        <v>1</v>
      </c>
      <c r="I210" s="39"/>
      <c r="J210" s="89">
        <f t="shared" si="14"/>
        <v>13</v>
      </c>
      <c r="K210" s="99">
        <v>15</v>
      </c>
    </row>
    <row r="211" spans="1:11" ht="12.75">
      <c r="A211" s="2" t="s">
        <v>9</v>
      </c>
      <c r="B211" s="124">
        <f t="shared" si="13"/>
        <v>3</v>
      </c>
      <c r="C211" s="134">
        <v>0</v>
      </c>
      <c r="D211" s="47">
        <v>0</v>
      </c>
      <c r="E211" s="47">
        <v>0</v>
      </c>
      <c r="F211" s="47">
        <v>0</v>
      </c>
      <c r="G211" s="47">
        <v>0</v>
      </c>
      <c r="H211" s="47">
        <v>3</v>
      </c>
      <c r="I211" s="39"/>
      <c r="J211" s="89">
        <f t="shared" si="14"/>
        <v>12</v>
      </c>
      <c r="K211" s="99">
        <v>15</v>
      </c>
    </row>
    <row r="212" spans="1:11" ht="12.75">
      <c r="A212" s="2" t="s">
        <v>10</v>
      </c>
      <c r="B212" s="124">
        <f t="shared" si="13"/>
        <v>8</v>
      </c>
      <c r="C212" s="134">
        <v>0</v>
      </c>
      <c r="D212" s="47">
        <v>0</v>
      </c>
      <c r="E212" s="47">
        <v>1</v>
      </c>
      <c r="F212" s="47">
        <v>0</v>
      </c>
      <c r="G212" s="47">
        <v>3</v>
      </c>
      <c r="H212" s="47">
        <v>4</v>
      </c>
      <c r="I212" s="39"/>
      <c r="J212" s="89">
        <f t="shared" si="14"/>
        <v>18</v>
      </c>
      <c r="K212" s="99">
        <v>26</v>
      </c>
    </row>
    <row r="213" spans="1:11" ht="12.75">
      <c r="A213" s="3" t="s">
        <v>11</v>
      </c>
      <c r="B213" s="124">
        <f t="shared" si="13"/>
        <v>9</v>
      </c>
      <c r="C213" s="134">
        <v>0</v>
      </c>
      <c r="D213" s="47">
        <v>0</v>
      </c>
      <c r="E213" s="47">
        <v>0</v>
      </c>
      <c r="F213" s="47">
        <v>1</v>
      </c>
      <c r="G213" s="47">
        <v>3</v>
      </c>
      <c r="H213" s="47">
        <v>5</v>
      </c>
      <c r="I213" s="39"/>
      <c r="J213" s="89">
        <f t="shared" si="14"/>
        <v>24</v>
      </c>
      <c r="K213" s="99">
        <v>33</v>
      </c>
    </row>
    <row r="214" spans="1:11" ht="12.75">
      <c r="A214" s="2" t="s">
        <v>12</v>
      </c>
      <c r="B214" s="124">
        <f t="shared" si="13"/>
        <v>8</v>
      </c>
      <c r="C214" s="134">
        <v>0</v>
      </c>
      <c r="D214" s="47">
        <v>0</v>
      </c>
      <c r="E214" s="47">
        <v>0</v>
      </c>
      <c r="F214" s="47">
        <v>2</v>
      </c>
      <c r="G214" s="47">
        <v>2</v>
      </c>
      <c r="H214" s="47">
        <v>4</v>
      </c>
      <c r="I214" s="39"/>
      <c r="J214" s="89">
        <f t="shared" si="14"/>
        <v>18</v>
      </c>
      <c r="K214" s="99">
        <v>26</v>
      </c>
    </row>
    <row r="215" spans="1:11" ht="12.75">
      <c r="A215" s="2" t="s">
        <v>13</v>
      </c>
      <c r="B215" s="124">
        <f t="shared" si="13"/>
        <v>6</v>
      </c>
      <c r="C215" s="134">
        <v>0</v>
      </c>
      <c r="D215" s="47">
        <v>1</v>
      </c>
      <c r="E215" s="47">
        <v>1</v>
      </c>
      <c r="F215" s="47">
        <v>1</v>
      </c>
      <c r="G215" s="47">
        <v>1</v>
      </c>
      <c r="H215" s="47">
        <v>2</v>
      </c>
      <c r="I215" s="39"/>
      <c r="J215" s="89">
        <f t="shared" si="14"/>
        <v>31</v>
      </c>
      <c r="K215" s="99">
        <v>37</v>
      </c>
    </row>
    <row r="216" spans="1:11" ht="12.75">
      <c r="A216" s="2" t="s">
        <v>14</v>
      </c>
      <c r="B216" s="124">
        <f t="shared" si="13"/>
        <v>10</v>
      </c>
      <c r="C216" s="134">
        <v>0</v>
      </c>
      <c r="D216" s="47">
        <v>0</v>
      </c>
      <c r="E216" s="47">
        <v>0</v>
      </c>
      <c r="F216" s="47">
        <v>2</v>
      </c>
      <c r="G216" s="47">
        <v>4</v>
      </c>
      <c r="H216" s="47">
        <v>4</v>
      </c>
      <c r="I216" s="39"/>
      <c r="J216" s="89">
        <f t="shared" si="14"/>
        <v>15</v>
      </c>
      <c r="K216" s="99">
        <v>25</v>
      </c>
    </row>
    <row r="217" spans="1:11" ht="14.25">
      <c r="A217" s="3" t="s">
        <v>229</v>
      </c>
      <c r="B217" s="124">
        <f t="shared" si="13"/>
        <v>12</v>
      </c>
      <c r="C217" s="134">
        <v>0</v>
      </c>
      <c r="D217" s="47">
        <v>0</v>
      </c>
      <c r="E217" s="47">
        <v>0</v>
      </c>
      <c r="F217" s="47">
        <v>2</v>
      </c>
      <c r="G217" s="47">
        <v>7</v>
      </c>
      <c r="H217" s="47">
        <v>3</v>
      </c>
      <c r="I217" s="39"/>
      <c r="J217" s="89">
        <f t="shared" si="14"/>
        <v>11</v>
      </c>
      <c r="K217" s="99">
        <v>23</v>
      </c>
    </row>
    <row r="218" spans="1:11" ht="12.75">
      <c r="A218" s="2" t="s">
        <v>15</v>
      </c>
      <c r="B218" s="124">
        <f t="shared" si="13"/>
        <v>13</v>
      </c>
      <c r="C218" s="134">
        <v>0</v>
      </c>
      <c r="D218" s="47">
        <v>1</v>
      </c>
      <c r="E218" s="47">
        <v>1</v>
      </c>
      <c r="F218" s="47">
        <v>1</v>
      </c>
      <c r="G218" s="47">
        <v>6</v>
      </c>
      <c r="H218" s="47">
        <v>4</v>
      </c>
      <c r="I218" s="39"/>
      <c r="J218" s="89">
        <f t="shared" si="14"/>
        <v>31</v>
      </c>
      <c r="K218" s="99">
        <v>44</v>
      </c>
    </row>
    <row r="219" spans="1:11" ht="12.75">
      <c r="A219" s="2" t="s">
        <v>16</v>
      </c>
      <c r="B219" s="124">
        <f t="shared" si="13"/>
        <v>10</v>
      </c>
      <c r="C219" s="134">
        <v>0</v>
      </c>
      <c r="D219" s="47">
        <v>2</v>
      </c>
      <c r="E219" s="47">
        <v>0</v>
      </c>
      <c r="F219" s="47">
        <v>2</v>
      </c>
      <c r="G219" s="47">
        <v>4</v>
      </c>
      <c r="H219" s="47">
        <v>2</v>
      </c>
      <c r="I219" s="39"/>
      <c r="J219" s="89">
        <f t="shared" si="14"/>
        <v>15</v>
      </c>
      <c r="K219" s="99">
        <v>25</v>
      </c>
    </row>
    <row r="220" spans="1:11" ht="12.75">
      <c r="A220" s="2" t="s">
        <v>17</v>
      </c>
      <c r="B220" s="124">
        <f t="shared" si="13"/>
        <v>7</v>
      </c>
      <c r="C220" s="134">
        <v>0</v>
      </c>
      <c r="D220" s="47">
        <v>0</v>
      </c>
      <c r="E220" s="47">
        <v>0</v>
      </c>
      <c r="F220" s="47">
        <v>0</v>
      </c>
      <c r="G220" s="47">
        <v>6</v>
      </c>
      <c r="H220" s="47">
        <v>1</v>
      </c>
      <c r="I220" s="39"/>
      <c r="J220" s="89">
        <f t="shared" si="14"/>
        <v>12</v>
      </c>
      <c r="K220" s="99">
        <v>19</v>
      </c>
    </row>
    <row r="221" spans="1:11" ht="12.75">
      <c r="A221" s="6" t="s">
        <v>23</v>
      </c>
      <c r="B221" s="122">
        <f t="shared" si="13"/>
        <v>114</v>
      </c>
      <c r="C221" s="121">
        <f aca="true" t="shared" si="15" ref="C221:H221">SUM(C202:C220)</f>
        <v>0</v>
      </c>
      <c r="D221" s="119">
        <f t="shared" si="15"/>
        <v>6</v>
      </c>
      <c r="E221" s="119">
        <f t="shared" si="15"/>
        <v>5</v>
      </c>
      <c r="F221" s="119">
        <f t="shared" si="15"/>
        <v>13</v>
      </c>
      <c r="G221" s="119">
        <f t="shared" si="15"/>
        <v>42</v>
      </c>
      <c r="H221" s="119">
        <f t="shared" si="15"/>
        <v>48</v>
      </c>
      <c r="I221" s="39"/>
      <c r="J221" s="119">
        <f>SUM(J202:J220)</f>
        <v>315</v>
      </c>
      <c r="K221" s="122">
        <f>SUM(K202:K220)</f>
        <v>429</v>
      </c>
    </row>
    <row r="222" spans="1:2" ht="12.75">
      <c r="A222" s="19" t="s">
        <v>238</v>
      </c>
      <c r="B222" s="20"/>
    </row>
    <row r="223" spans="1:2" ht="12.75">
      <c r="A223" s="19" t="s">
        <v>239</v>
      </c>
      <c r="B223" s="20"/>
    </row>
    <row r="226" spans="1:10" ht="12.75">
      <c r="A226" s="14" t="s">
        <v>307</v>
      </c>
      <c r="B226" s="14"/>
      <c r="C226" s="11"/>
      <c r="D226" s="11"/>
      <c r="E226" s="11"/>
      <c r="F226" s="11"/>
      <c r="G226" s="11"/>
      <c r="H226" s="11"/>
      <c r="I226" s="129"/>
      <c r="J226" s="14"/>
    </row>
    <row r="227" spans="1:10" ht="12.75">
      <c r="A227" s="16"/>
      <c r="B227" s="16"/>
      <c r="C227" s="11"/>
      <c r="D227" s="11"/>
      <c r="E227" s="11"/>
      <c r="F227" s="11"/>
      <c r="G227" s="11"/>
      <c r="H227" s="11"/>
      <c r="I227" s="129"/>
      <c r="J227" s="16"/>
    </row>
    <row r="228" spans="1:11" ht="12.75">
      <c r="A228" s="123"/>
      <c r="B228" s="120"/>
      <c r="C228" s="283" t="s">
        <v>248</v>
      </c>
      <c r="D228" s="284"/>
      <c r="E228" s="284"/>
      <c r="F228" s="285"/>
      <c r="G228" s="283" t="s">
        <v>237</v>
      </c>
      <c r="H228" s="285"/>
      <c r="I228" s="129"/>
      <c r="J228" s="120"/>
      <c r="K228" s="120"/>
    </row>
    <row r="229" spans="1:11" ht="12.75">
      <c r="A229" s="2"/>
      <c r="B229" s="2"/>
      <c r="C229" s="7" t="s">
        <v>233</v>
      </c>
      <c r="D229" s="5" t="s">
        <v>233</v>
      </c>
      <c r="E229" s="120"/>
      <c r="F229" s="7"/>
      <c r="G229" s="8"/>
      <c r="H229" s="8"/>
      <c r="I229" s="129"/>
      <c r="J229" s="8"/>
      <c r="K229" s="8"/>
    </row>
    <row r="230" spans="1:11" ht="12.75">
      <c r="A230" s="2"/>
      <c r="B230" s="2"/>
      <c r="C230" s="8" t="s">
        <v>234</v>
      </c>
      <c r="D230" s="5" t="s">
        <v>234</v>
      </c>
      <c r="E230" s="98"/>
      <c r="F230" s="8"/>
      <c r="G230" s="8"/>
      <c r="H230" s="8"/>
      <c r="I230" s="129"/>
      <c r="J230" s="8" t="s">
        <v>225</v>
      </c>
      <c r="K230" s="8"/>
    </row>
    <row r="231" spans="1:11" ht="12.75">
      <c r="A231" s="2"/>
      <c r="B231" s="2"/>
      <c r="C231" s="8" t="s">
        <v>231</v>
      </c>
      <c r="D231" s="5" t="s">
        <v>231</v>
      </c>
      <c r="E231" s="8" t="s">
        <v>233</v>
      </c>
      <c r="F231" s="8" t="s">
        <v>233</v>
      </c>
      <c r="G231" s="8" t="s">
        <v>233</v>
      </c>
      <c r="H231" s="8" t="s">
        <v>233</v>
      </c>
      <c r="I231" s="129"/>
      <c r="J231" s="8" t="s">
        <v>48</v>
      </c>
      <c r="K231" s="8" t="s">
        <v>198</v>
      </c>
    </row>
    <row r="232" spans="1:11" ht="12.75">
      <c r="A232" s="2"/>
      <c r="B232" s="2"/>
      <c r="C232" s="8" t="s">
        <v>227</v>
      </c>
      <c r="D232" s="5" t="s">
        <v>232</v>
      </c>
      <c r="E232" s="8" t="s">
        <v>235</v>
      </c>
      <c r="F232" s="8" t="s">
        <v>236</v>
      </c>
      <c r="G232" s="8" t="s">
        <v>235</v>
      </c>
      <c r="H232" s="8" t="s">
        <v>236</v>
      </c>
      <c r="I232" s="129"/>
      <c r="J232" s="8" t="s">
        <v>223</v>
      </c>
      <c r="K232" s="8" t="s">
        <v>205</v>
      </c>
    </row>
    <row r="233" spans="1:11" ht="14.25">
      <c r="A233" s="4"/>
      <c r="B233" s="17" t="s">
        <v>159</v>
      </c>
      <c r="C233" s="9" t="s">
        <v>226</v>
      </c>
      <c r="D233" s="17" t="s">
        <v>226</v>
      </c>
      <c r="E233" s="9" t="s">
        <v>62</v>
      </c>
      <c r="F233" s="9" t="s">
        <v>48</v>
      </c>
      <c r="G233" s="9" t="s">
        <v>62</v>
      </c>
      <c r="H233" s="9" t="s">
        <v>48</v>
      </c>
      <c r="I233" s="129"/>
      <c r="J233" s="9" t="s">
        <v>224</v>
      </c>
      <c r="K233" s="83" t="s">
        <v>259</v>
      </c>
    </row>
    <row r="234" spans="1:11" ht="12.75">
      <c r="A234" s="2" t="s">
        <v>0</v>
      </c>
      <c r="B234" s="124">
        <f>C234+D234+E234+F234+G234+H234</f>
        <v>3</v>
      </c>
      <c r="C234" s="134">
        <v>0</v>
      </c>
      <c r="D234" s="47">
        <v>0</v>
      </c>
      <c r="E234" s="47">
        <v>0</v>
      </c>
      <c r="F234" s="47">
        <v>0</v>
      </c>
      <c r="G234" s="47">
        <v>2</v>
      </c>
      <c r="H234" s="47">
        <v>1</v>
      </c>
      <c r="I234" s="39"/>
      <c r="J234" s="89">
        <f>K234-B234</f>
        <v>15</v>
      </c>
      <c r="K234" s="99">
        <v>18</v>
      </c>
    </row>
    <row r="235" spans="1:11" ht="12.75">
      <c r="A235" s="2" t="s">
        <v>1</v>
      </c>
      <c r="B235" s="124">
        <f aca="true" t="shared" si="16" ref="B235:B253">C235+D235+E235+F235+G235+H235</f>
        <v>2</v>
      </c>
      <c r="C235" s="134">
        <v>0</v>
      </c>
      <c r="D235" s="47">
        <v>0</v>
      </c>
      <c r="E235" s="47">
        <v>0</v>
      </c>
      <c r="F235" s="47">
        <v>1</v>
      </c>
      <c r="G235" s="47">
        <v>0</v>
      </c>
      <c r="H235" s="47">
        <v>1</v>
      </c>
      <c r="I235" s="39"/>
      <c r="J235" s="89">
        <f aca="true" t="shared" si="17" ref="J235:J252">K235-B235</f>
        <v>20</v>
      </c>
      <c r="K235" s="99">
        <v>22</v>
      </c>
    </row>
    <row r="236" spans="1:11" ht="12.75">
      <c r="A236" s="2" t="s">
        <v>2</v>
      </c>
      <c r="B236" s="124">
        <f t="shared" si="16"/>
        <v>0</v>
      </c>
      <c r="C236" s="134">
        <v>0</v>
      </c>
      <c r="D236" s="47">
        <v>0</v>
      </c>
      <c r="E236" s="47">
        <v>0</v>
      </c>
      <c r="F236" s="47">
        <v>0</v>
      </c>
      <c r="G236" s="47">
        <v>0</v>
      </c>
      <c r="H236" s="47">
        <v>0</v>
      </c>
      <c r="I236" s="39"/>
      <c r="J236" s="89">
        <f t="shared" si="17"/>
        <v>1</v>
      </c>
      <c r="K236" s="99">
        <v>1</v>
      </c>
    </row>
    <row r="237" spans="1:11" ht="12.75">
      <c r="A237" s="2" t="s">
        <v>3</v>
      </c>
      <c r="B237" s="124">
        <f t="shared" si="16"/>
        <v>9</v>
      </c>
      <c r="C237" s="134">
        <v>0</v>
      </c>
      <c r="D237" s="47">
        <v>2</v>
      </c>
      <c r="E237" s="47">
        <v>0</v>
      </c>
      <c r="F237" s="47">
        <v>1</v>
      </c>
      <c r="G237" s="47">
        <v>3</v>
      </c>
      <c r="H237" s="47">
        <v>3</v>
      </c>
      <c r="I237" s="39"/>
      <c r="J237" s="89">
        <f t="shared" si="17"/>
        <v>13</v>
      </c>
      <c r="K237" s="99">
        <v>22</v>
      </c>
    </row>
    <row r="238" spans="1:11" ht="12.75">
      <c r="A238" s="2" t="s">
        <v>4</v>
      </c>
      <c r="B238" s="124">
        <f t="shared" si="16"/>
        <v>4</v>
      </c>
      <c r="C238" s="134">
        <v>0</v>
      </c>
      <c r="D238" s="47">
        <v>0</v>
      </c>
      <c r="E238" s="47">
        <v>0</v>
      </c>
      <c r="F238" s="47">
        <v>1</v>
      </c>
      <c r="G238" s="47">
        <v>0</v>
      </c>
      <c r="H238" s="47">
        <v>3</v>
      </c>
      <c r="I238" s="39"/>
      <c r="J238" s="89">
        <f t="shared" si="17"/>
        <v>22</v>
      </c>
      <c r="K238" s="99">
        <v>26</v>
      </c>
    </row>
    <row r="239" spans="1:11" ht="14.25">
      <c r="A239" s="2" t="s">
        <v>230</v>
      </c>
      <c r="B239" s="124">
        <f t="shared" si="16"/>
        <v>3</v>
      </c>
      <c r="C239" s="134">
        <v>0</v>
      </c>
      <c r="D239" s="47">
        <v>0</v>
      </c>
      <c r="E239" s="47">
        <v>0</v>
      </c>
      <c r="F239" s="47">
        <v>0</v>
      </c>
      <c r="G239" s="47">
        <v>1</v>
      </c>
      <c r="H239" s="47">
        <v>2</v>
      </c>
      <c r="I239" s="39"/>
      <c r="J239" s="89">
        <f t="shared" si="17"/>
        <v>17</v>
      </c>
      <c r="K239" s="99">
        <v>20</v>
      </c>
    </row>
    <row r="240" spans="1:11" ht="12.75">
      <c r="A240" s="2" t="s">
        <v>6</v>
      </c>
      <c r="B240" s="124">
        <f t="shared" si="16"/>
        <v>1</v>
      </c>
      <c r="C240" s="134">
        <v>0</v>
      </c>
      <c r="D240" s="47">
        <v>0</v>
      </c>
      <c r="E240" s="47">
        <v>0</v>
      </c>
      <c r="F240" s="47">
        <v>0</v>
      </c>
      <c r="G240" s="47">
        <v>0</v>
      </c>
      <c r="H240" s="47">
        <v>1</v>
      </c>
      <c r="I240" s="39"/>
      <c r="J240" s="89">
        <f t="shared" si="17"/>
        <v>13</v>
      </c>
      <c r="K240" s="99">
        <v>14</v>
      </c>
    </row>
    <row r="241" spans="1:11" ht="12.75">
      <c r="A241" s="3" t="s">
        <v>7</v>
      </c>
      <c r="B241" s="124">
        <f t="shared" si="16"/>
        <v>5</v>
      </c>
      <c r="C241" s="134">
        <v>0</v>
      </c>
      <c r="D241" s="47">
        <v>0</v>
      </c>
      <c r="E241" s="47">
        <v>0</v>
      </c>
      <c r="F241" s="47">
        <v>0</v>
      </c>
      <c r="G241" s="47">
        <v>0</v>
      </c>
      <c r="H241" s="47">
        <v>5</v>
      </c>
      <c r="I241" s="39"/>
      <c r="J241" s="89">
        <f t="shared" si="17"/>
        <v>13</v>
      </c>
      <c r="K241" s="99">
        <v>18</v>
      </c>
    </row>
    <row r="242" spans="1:11" ht="12.75">
      <c r="A242" s="2" t="s">
        <v>8</v>
      </c>
      <c r="B242" s="124">
        <f t="shared" si="16"/>
        <v>2</v>
      </c>
      <c r="C242" s="134">
        <v>0</v>
      </c>
      <c r="D242" s="47">
        <v>1</v>
      </c>
      <c r="E242" s="47">
        <v>0</v>
      </c>
      <c r="F242" s="47">
        <v>0</v>
      </c>
      <c r="G242" s="47">
        <v>0</v>
      </c>
      <c r="H242" s="47">
        <v>1</v>
      </c>
      <c r="I242" s="39"/>
      <c r="J242" s="89">
        <f t="shared" si="17"/>
        <v>13</v>
      </c>
      <c r="K242" s="99">
        <v>15</v>
      </c>
    </row>
    <row r="243" spans="1:11" ht="12.75">
      <c r="A243" s="2" t="s">
        <v>9</v>
      </c>
      <c r="B243" s="124">
        <f t="shared" si="16"/>
        <v>3</v>
      </c>
      <c r="C243" s="134">
        <v>0</v>
      </c>
      <c r="D243" s="47">
        <v>0</v>
      </c>
      <c r="E243" s="47">
        <v>0</v>
      </c>
      <c r="F243" s="47">
        <v>0</v>
      </c>
      <c r="G243" s="47">
        <v>0</v>
      </c>
      <c r="H243" s="47">
        <v>3</v>
      </c>
      <c r="I243" s="39"/>
      <c r="J243" s="89">
        <f t="shared" si="17"/>
        <v>12</v>
      </c>
      <c r="K243" s="99">
        <v>15</v>
      </c>
    </row>
    <row r="244" spans="1:11" ht="12.75">
      <c r="A244" s="2" t="s">
        <v>10</v>
      </c>
      <c r="B244" s="124">
        <f t="shared" si="16"/>
        <v>8</v>
      </c>
      <c r="C244" s="134">
        <v>0</v>
      </c>
      <c r="D244" s="47">
        <v>0</v>
      </c>
      <c r="E244" s="47">
        <v>1</v>
      </c>
      <c r="F244" s="47">
        <v>2</v>
      </c>
      <c r="G244" s="47">
        <v>3</v>
      </c>
      <c r="H244" s="47">
        <v>2</v>
      </c>
      <c r="I244" s="39"/>
      <c r="J244" s="89">
        <f t="shared" si="17"/>
        <v>18</v>
      </c>
      <c r="K244" s="99">
        <v>26</v>
      </c>
    </row>
    <row r="245" spans="1:11" ht="12.75">
      <c r="A245" s="3" t="s">
        <v>11</v>
      </c>
      <c r="B245" s="124">
        <f t="shared" si="16"/>
        <v>4</v>
      </c>
      <c r="C245" s="134">
        <v>0</v>
      </c>
      <c r="D245" s="47">
        <v>0</v>
      </c>
      <c r="E245" s="47">
        <v>0</v>
      </c>
      <c r="F245" s="47">
        <v>0</v>
      </c>
      <c r="G245" s="47">
        <v>3</v>
      </c>
      <c r="H245" s="47">
        <v>1</v>
      </c>
      <c r="I245" s="39"/>
      <c r="J245" s="89">
        <f t="shared" si="17"/>
        <v>29</v>
      </c>
      <c r="K245" s="99">
        <v>33</v>
      </c>
    </row>
    <row r="246" spans="1:11" ht="12.75">
      <c r="A246" s="2" t="s">
        <v>12</v>
      </c>
      <c r="B246" s="124">
        <f t="shared" si="16"/>
        <v>8</v>
      </c>
      <c r="C246" s="134">
        <v>0</v>
      </c>
      <c r="D246" s="47">
        <v>0</v>
      </c>
      <c r="E246" s="47">
        <v>0</v>
      </c>
      <c r="F246" s="47">
        <v>2</v>
      </c>
      <c r="G246" s="47">
        <v>2</v>
      </c>
      <c r="H246" s="47">
        <v>4</v>
      </c>
      <c r="I246" s="39"/>
      <c r="J246" s="89">
        <f t="shared" si="17"/>
        <v>18</v>
      </c>
      <c r="K246" s="99">
        <v>26</v>
      </c>
    </row>
    <row r="247" spans="1:11" ht="12.75">
      <c r="A247" s="2" t="s">
        <v>13</v>
      </c>
      <c r="B247" s="124">
        <f t="shared" si="16"/>
        <v>7</v>
      </c>
      <c r="C247" s="134">
        <v>0</v>
      </c>
      <c r="D247" s="47">
        <v>1</v>
      </c>
      <c r="E247" s="47">
        <v>1</v>
      </c>
      <c r="F247" s="47">
        <v>0</v>
      </c>
      <c r="G247" s="47">
        <v>1</v>
      </c>
      <c r="H247" s="47">
        <v>4</v>
      </c>
      <c r="I247" s="39"/>
      <c r="J247" s="89">
        <f t="shared" si="17"/>
        <v>30</v>
      </c>
      <c r="K247" s="99">
        <v>37</v>
      </c>
    </row>
    <row r="248" spans="1:11" ht="12.75">
      <c r="A248" s="2" t="s">
        <v>14</v>
      </c>
      <c r="B248" s="124">
        <f t="shared" si="16"/>
        <v>9</v>
      </c>
      <c r="C248" s="134">
        <v>0</v>
      </c>
      <c r="D248" s="47">
        <v>0</v>
      </c>
      <c r="E248" s="47">
        <v>0</v>
      </c>
      <c r="F248" s="47">
        <v>2</v>
      </c>
      <c r="G248" s="47">
        <v>4</v>
      </c>
      <c r="H248" s="47">
        <v>3</v>
      </c>
      <c r="I248" s="39"/>
      <c r="J248" s="89">
        <f t="shared" si="17"/>
        <v>16</v>
      </c>
      <c r="K248" s="99">
        <v>25</v>
      </c>
    </row>
    <row r="249" spans="1:11" ht="14.25">
      <c r="A249" s="3" t="s">
        <v>229</v>
      </c>
      <c r="B249" s="124">
        <f t="shared" si="16"/>
        <v>10</v>
      </c>
      <c r="C249" s="134">
        <v>0</v>
      </c>
      <c r="D249" s="47">
        <v>0</v>
      </c>
      <c r="E249" s="47">
        <v>0</v>
      </c>
      <c r="F249" s="47">
        <v>1</v>
      </c>
      <c r="G249" s="47">
        <v>7</v>
      </c>
      <c r="H249" s="47">
        <v>2</v>
      </c>
      <c r="I249" s="39"/>
      <c r="J249" s="89">
        <f t="shared" si="17"/>
        <v>13</v>
      </c>
      <c r="K249" s="99">
        <v>23</v>
      </c>
    </row>
    <row r="250" spans="1:11" ht="12.75">
      <c r="A250" s="2" t="s">
        <v>15</v>
      </c>
      <c r="B250" s="124">
        <f t="shared" si="16"/>
        <v>14</v>
      </c>
      <c r="C250" s="134">
        <v>0</v>
      </c>
      <c r="D250" s="47">
        <v>1</v>
      </c>
      <c r="E250" s="47">
        <v>1</v>
      </c>
      <c r="F250" s="47">
        <v>1</v>
      </c>
      <c r="G250" s="47">
        <v>7</v>
      </c>
      <c r="H250" s="47">
        <v>4</v>
      </c>
      <c r="I250" s="39"/>
      <c r="J250" s="89">
        <f t="shared" si="17"/>
        <v>30</v>
      </c>
      <c r="K250" s="99">
        <v>44</v>
      </c>
    </row>
    <row r="251" spans="1:11" ht="12.75">
      <c r="A251" s="2" t="s">
        <v>16</v>
      </c>
      <c r="B251" s="124">
        <f t="shared" si="16"/>
        <v>11</v>
      </c>
      <c r="C251" s="134">
        <v>0</v>
      </c>
      <c r="D251" s="47">
        <v>1</v>
      </c>
      <c r="E251" s="47">
        <v>0</v>
      </c>
      <c r="F251" s="47">
        <v>1</v>
      </c>
      <c r="G251" s="47">
        <v>5</v>
      </c>
      <c r="H251" s="47">
        <v>4</v>
      </c>
      <c r="I251" s="39"/>
      <c r="J251" s="89">
        <f t="shared" si="17"/>
        <v>14</v>
      </c>
      <c r="K251" s="99">
        <v>25</v>
      </c>
    </row>
    <row r="252" spans="1:11" ht="12.75">
      <c r="A252" s="2" t="s">
        <v>17</v>
      </c>
      <c r="B252" s="124">
        <f t="shared" si="16"/>
        <v>9</v>
      </c>
      <c r="C252" s="134">
        <v>0</v>
      </c>
      <c r="D252" s="47">
        <v>0</v>
      </c>
      <c r="E252" s="47">
        <v>0</v>
      </c>
      <c r="F252" s="47">
        <v>0</v>
      </c>
      <c r="G252" s="47">
        <v>6</v>
      </c>
      <c r="H252" s="47">
        <v>3</v>
      </c>
      <c r="I252" s="39"/>
      <c r="J252" s="89">
        <f t="shared" si="17"/>
        <v>10</v>
      </c>
      <c r="K252" s="99">
        <v>19</v>
      </c>
    </row>
    <row r="253" spans="1:11" ht="12.75">
      <c r="A253" s="6" t="s">
        <v>23</v>
      </c>
      <c r="B253" s="122">
        <f t="shared" si="16"/>
        <v>112</v>
      </c>
      <c r="C253" s="121">
        <f aca="true" t="shared" si="18" ref="C253:H253">SUM(C234:C252)</f>
        <v>0</v>
      </c>
      <c r="D253" s="119">
        <f t="shared" si="18"/>
        <v>6</v>
      </c>
      <c r="E253" s="119">
        <f t="shared" si="18"/>
        <v>3</v>
      </c>
      <c r="F253" s="119">
        <f t="shared" si="18"/>
        <v>12</v>
      </c>
      <c r="G253" s="119">
        <f t="shared" si="18"/>
        <v>44</v>
      </c>
      <c r="H253" s="119">
        <f t="shared" si="18"/>
        <v>47</v>
      </c>
      <c r="I253" s="39"/>
      <c r="J253" s="119">
        <f>SUM(J234:J252)</f>
        <v>317</v>
      </c>
      <c r="K253" s="122">
        <f>SUM(K234:K252)</f>
        <v>429</v>
      </c>
    </row>
    <row r="254" spans="1:2" ht="12.75">
      <c r="A254" s="19" t="s">
        <v>238</v>
      </c>
      <c r="B254" s="20"/>
    </row>
    <row r="255" spans="1:2" ht="12.75">
      <c r="A255" s="19" t="s">
        <v>239</v>
      </c>
      <c r="B255" s="20"/>
    </row>
    <row r="258" spans="1:10" ht="12.75">
      <c r="A258" s="14" t="s">
        <v>305</v>
      </c>
      <c r="B258" s="14"/>
      <c r="C258" s="11"/>
      <c r="D258" s="11"/>
      <c r="E258" s="11"/>
      <c r="F258" s="11"/>
      <c r="G258" s="11"/>
      <c r="H258" s="11"/>
      <c r="I258" s="129"/>
      <c r="J258" s="14"/>
    </row>
    <row r="259" spans="1:10" ht="12.75">
      <c r="A259" s="16"/>
      <c r="B259" s="16"/>
      <c r="C259" s="11"/>
      <c r="D259" s="11"/>
      <c r="E259" s="11"/>
      <c r="F259" s="11"/>
      <c r="G259" s="11"/>
      <c r="H259" s="11"/>
      <c r="I259" s="129"/>
      <c r="J259" s="16"/>
    </row>
    <row r="260" spans="1:11" ht="12.75">
      <c r="A260" s="123"/>
      <c r="B260" s="120"/>
      <c r="C260" s="283" t="s">
        <v>248</v>
      </c>
      <c r="D260" s="284"/>
      <c r="E260" s="284"/>
      <c r="F260" s="285"/>
      <c r="G260" s="283" t="s">
        <v>237</v>
      </c>
      <c r="H260" s="285"/>
      <c r="I260" s="129"/>
      <c r="J260" s="120"/>
      <c r="K260" s="120"/>
    </row>
    <row r="261" spans="1:11" ht="12.75">
      <c r="A261" s="2"/>
      <c r="B261" s="2"/>
      <c r="C261" s="7" t="s">
        <v>233</v>
      </c>
      <c r="D261" s="5" t="s">
        <v>233</v>
      </c>
      <c r="E261" s="120"/>
      <c r="F261" s="7"/>
      <c r="G261" s="8"/>
      <c r="H261" s="8"/>
      <c r="I261" s="129"/>
      <c r="J261" s="8"/>
      <c r="K261" s="8"/>
    </row>
    <row r="262" spans="1:11" ht="12.75">
      <c r="A262" s="2"/>
      <c r="B262" s="2"/>
      <c r="C262" s="8" t="s">
        <v>234</v>
      </c>
      <c r="D262" s="5" t="s">
        <v>234</v>
      </c>
      <c r="E262" s="98"/>
      <c r="F262" s="8"/>
      <c r="G262" s="8"/>
      <c r="H262" s="8"/>
      <c r="I262" s="129"/>
      <c r="J262" s="8" t="s">
        <v>225</v>
      </c>
      <c r="K262" s="8"/>
    </row>
    <row r="263" spans="1:11" ht="12.75">
      <c r="A263" s="2"/>
      <c r="B263" s="2"/>
      <c r="C263" s="8" t="s">
        <v>231</v>
      </c>
      <c r="D263" s="5" t="s">
        <v>231</v>
      </c>
      <c r="E263" s="8" t="s">
        <v>233</v>
      </c>
      <c r="F263" s="8" t="s">
        <v>233</v>
      </c>
      <c r="G263" s="8" t="s">
        <v>233</v>
      </c>
      <c r="H263" s="8" t="s">
        <v>233</v>
      </c>
      <c r="I263" s="129"/>
      <c r="J263" s="8" t="s">
        <v>48</v>
      </c>
      <c r="K263" s="8" t="s">
        <v>198</v>
      </c>
    </row>
    <row r="264" spans="1:11" ht="12.75">
      <c r="A264" s="2"/>
      <c r="B264" s="2"/>
      <c r="C264" s="8" t="s">
        <v>227</v>
      </c>
      <c r="D264" s="5" t="s">
        <v>232</v>
      </c>
      <c r="E264" s="8" t="s">
        <v>235</v>
      </c>
      <c r="F264" s="8" t="s">
        <v>236</v>
      </c>
      <c r="G264" s="8" t="s">
        <v>235</v>
      </c>
      <c r="H264" s="8" t="s">
        <v>236</v>
      </c>
      <c r="I264" s="129"/>
      <c r="J264" s="8" t="s">
        <v>223</v>
      </c>
      <c r="K264" s="8" t="s">
        <v>205</v>
      </c>
    </row>
    <row r="265" spans="1:11" ht="14.25">
      <c r="A265" s="4"/>
      <c r="B265" s="17" t="s">
        <v>159</v>
      </c>
      <c r="C265" s="9" t="s">
        <v>226</v>
      </c>
      <c r="D265" s="17" t="s">
        <v>226</v>
      </c>
      <c r="E265" s="9" t="s">
        <v>62</v>
      </c>
      <c r="F265" s="9" t="s">
        <v>48</v>
      </c>
      <c r="G265" s="9" t="s">
        <v>62</v>
      </c>
      <c r="H265" s="9" t="s">
        <v>48</v>
      </c>
      <c r="I265" s="129"/>
      <c r="J265" s="9" t="s">
        <v>224</v>
      </c>
      <c r="K265" s="83" t="s">
        <v>259</v>
      </c>
    </row>
    <row r="266" spans="1:11" ht="12.75">
      <c r="A266" s="2" t="s">
        <v>0</v>
      </c>
      <c r="B266" s="124">
        <f>C266+D266+E266+F266+G266+H266</f>
        <v>4</v>
      </c>
      <c r="C266" s="134">
        <v>0</v>
      </c>
      <c r="D266" s="47">
        <v>0</v>
      </c>
      <c r="E266" s="47">
        <v>0</v>
      </c>
      <c r="F266" s="47">
        <v>1</v>
      </c>
      <c r="G266" s="47">
        <v>2</v>
      </c>
      <c r="H266" s="47">
        <v>1</v>
      </c>
      <c r="I266" s="39"/>
      <c r="J266" s="89">
        <f>K266-B266</f>
        <v>14</v>
      </c>
      <c r="K266" s="99">
        <v>18</v>
      </c>
    </row>
    <row r="267" spans="1:11" ht="12.75">
      <c r="A267" s="2" t="s">
        <v>1</v>
      </c>
      <c r="B267" s="124">
        <f aca="true" t="shared" si="19" ref="B267:B285">C267+D267+E267+F267+G267+H267</f>
        <v>0</v>
      </c>
      <c r="C267" s="134">
        <v>0</v>
      </c>
      <c r="D267" s="47">
        <v>0</v>
      </c>
      <c r="E267" s="47">
        <v>0</v>
      </c>
      <c r="F267" s="47">
        <v>0</v>
      </c>
      <c r="G267" s="47">
        <v>0</v>
      </c>
      <c r="H267" s="47">
        <v>0</v>
      </c>
      <c r="I267" s="39"/>
      <c r="J267" s="89">
        <f aca="true" t="shared" si="20" ref="J267:J284">K267-B267</f>
        <v>22</v>
      </c>
      <c r="K267" s="99">
        <v>22</v>
      </c>
    </row>
    <row r="268" spans="1:11" ht="12.75">
      <c r="A268" s="2" t="s">
        <v>2</v>
      </c>
      <c r="B268" s="124">
        <f t="shared" si="19"/>
        <v>0</v>
      </c>
      <c r="C268" s="134">
        <v>0</v>
      </c>
      <c r="D268" s="47">
        <v>0</v>
      </c>
      <c r="E268" s="47">
        <v>0</v>
      </c>
      <c r="F268" s="47">
        <v>0</v>
      </c>
      <c r="G268" s="47">
        <v>0</v>
      </c>
      <c r="H268" s="47">
        <v>0</v>
      </c>
      <c r="I268" s="39"/>
      <c r="J268" s="89">
        <f t="shared" si="20"/>
        <v>1</v>
      </c>
      <c r="K268" s="99">
        <v>1</v>
      </c>
    </row>
    <row r="269" spans="1:11" ht="12.75">
      <c r="A269" s="2" t="s">
        <v>3</v>
      </c>
      <c r="B269" s="124">
        <f t="shared" si="19"/>
        <v>9</v>
      </c>
      <c r="C269" s="134">
        <v>0</v>
      </c>
      <c r="D269" s="47">
        <v>2</v>
      </c>
      <c r="E269" s="47">
        <v>1</v>
      </c>
      <c r="F269" s="47">
        <v>0</v>
      </c>
      <c r="G269" s="47">
        <v>2</v>
      </c>
      <c r="H269" s="47">
        <v>4</v>
      </c>
      <c r="I269" s="39"/>
      <c r="J269" s="89">
        <f t="shared" si="20"/>
        <v>13</v>
      </c>
      <c r="K269" s="99">
        <v>22</v>
      </c>
    </row>
    <row r="270" spans="1:11" ht="12.75">
      <c r="A270" s="2" t="s">
        <v>4</v>
      </c>
      <c r="B270" s="124">
        <f t="shared" si="19"/>
        <v>4</v>
      </c>
      <c r="C270" s="134">
        <v>0</v>
      </c>
      <c r="D270" s="47">
        <v>0</v>
      </c>
      <c r="E270" s="47">
        <v>0</v>
      </c>
      <c r="F270" s="47">
        <v>1</v>
      </c>
      <c r="G270" s="47">
        <v>0</v>
      </c>
      <c r="H270" s="47">
        <v>3</v>
      </c>
      <c r="I270" s="39"/>
      <c r="J270" s="89">
        <f t="shared" si="20"/>
        <v>22</v>
      </c>
      <c r="K270" s="99">
        <v>26</v>
      </c>
    </row>
    <row r="271" spans="1:11" ht="14.25">
      <c r="A271" s="2" t="s">
        <v>230</v>
      </c>
      <c r="B271" s="124">
        <f t="shared" si="19"/>
        <v>3</v>
      </c>
      <c r="C271" s="134">
        <v>0</v>
      </c>
      <c r="D271" s="47">
        <v>0</v>
      </c>
      <c r="E271" s="47">
        <v>0</v>
      </c>
      <c r="F271" s="47">
        <v>0</v>
      </c>
      <c r="G271" s="47">
        <v>1</v>
      </c>
      <c r="H271" s="47">
        <v>2</v>
      </c>
      <c r="I271" s="39"/>
      <c r="J271" s="89">
        <f t="shared" si="20"/>
        <v>17</v>
      </c>
      <c r="K271" s="99">
        <v>20</v>
      </c>
    </row>
    <row r="272" spans="1:11" ht="12.75">
      <c r="A272" s="2" t="s">
        <v>6</v>
      </c>
      <c r="B272" s="124">
        <f t="shared" si="19"/>
        <v>1</v>
      </c>
      <c r="C272" s="134">
        <v>0</v>
      </c>
      <c r="D272" s="47">
        <v>0</v>
      </c>
      <c r="E272" s="47">
        <v>0</v>
      </c>
      <c r="F272" s="47">
        <v>1</v>
      </c>
      <c r="G272" s="47">
        <v>0</v>
      </c>
      <c r="H272" s="47">
        <v>0</v>
      </c>
      <c r="I272" s="39"/>
      <c r="J272" s="89">
        <f t="shared" si="20"/>
        <v>13</v>
      </c>
      <c r="K272" s="99">
        <v>14</v>
      </c>
    </row>
    <row r="273" spans="1:11" ht="12.75">
      <c r="A273" s="3" t="s">
        <v>7</v>
      </c>
      <c r="B273" s="124">
        <f t="shared" si="19"/>
        <v>5</v>
      </c>
      <c r="C273" s="134">
        <v>0</v>
      </c>
      <c r="D273" s="47">
        <v>0</v>
      </c>
      <c r="E273" s="47">
        <v>0</v>
      </c>
      <c r="F273" s="47">
        <v>0</v>
      </c>
      <c r="G273" s="47">
        <v>0</v>
      </c>
      <c r="H273" s="47">
        <v>5</v>
      </c>
      <c r="I273" s="39"/>
      <c r="J273" s="89">
        <f t="shared" si="20"/>
        <v>13</v>
      </c>
      <c r="K273" s="99">
        <v>18</v>
      </c>
    </row>
    <row r="274" spans="1:11" ht="12.75">
      <c r="A274" s="2" t="s">
        <v>8</v>
      </c>
      <c r="B274" s="124">
        <f t="shared" si="19"/>
        <v>2</v>
      </c>
      <c r="C274" s="134">
        <v>0</v>
      </c>
      <c r="D274" s="47">
        <v>0</v>
      </c>
      <c r="E274" s="47">
        <v>0</v>
      </c>
      <c r="F274" s="47">
        <v>0</v>
      </c>
      <c r="G274" s="47">
        <v>1</v>
      </c>
      <c r="H274" s="47">
        <v>1</v>
      </c>
      <c r="I274" s="39"/>
      <c r="J274" s="89">
        <f t="shared" si="20"/>
        <v>13</v>
      </c>
      <c r="K274" s="99">
        <v>15</v>
      </c>
    </row>
    <row r="275" spans="1:11" ht="12.75">
      <c r="A275" s="2" t="s">
        <v>9</v>
      </c>
      <c r="B275" s="124">
        <f t="shared" si="19"/>
        <v>2</v>
      </c>
      <c r="C275" s="134">
        <v>0</v>
      </c>
      <c r="D275" s="47">
        <v>0</v>
      </c>
      <c r="E275" s="47">
        <v>0</v>
      </c>
      <c r="F275" s="47">
        <v>0</v>
      </c>
      <c r="G275" s="47">
        <v>0</v>
      </c>
      <c r="H275" s="47">
        <v>2</v>
      </c>
      <c r="I275" s="39"/>
      <c r="J275" s="89">
        <f t="shared" si="20"/>
        <v>13</v>
      </c>
      <c r="K275" s="99">
        <v>15</v>
      </c>
    </row>
    <row r="276" spans="1:11" ht="12.75">
      <c r="A276" s="2" t="s">
        <v>10</v>
      </c>
      <c r="B276" s="124">
        <f t="shared" si="19"/>
        <v>6</v>
      </c>
      <c r="C276" s="134">
        <v>0</v>
      </c>
      <c r="D276" s="47">
        <v>0</v>
      </c>
      <c r="E276" s="47">
        <v>0</v>
      </c>
      <c r="F276" s="47">
        <v>0</v>
      </c>
      <c r="G276" s="47">
        <v>4</v>
      </c>
      <c r="H276" s="47">
        <v>2</v>
      </c>
      <c r="I276" s="39"/>
      <c r="J276" s="89">
        <f t="shared" si="20"/>
        <v>20</v>
      </c>
      <c r="K276" s="99">
        <v>26</v>
      </c>
    </row>
    <row r="277" spans="1:11" ht="12.75">
      <c r="A277" s="3" t="s">
        <v>11</v>
      </c>
      <c r="B277" s="124">
        <f t="shared" si="19"/>
        <v>5</v>
      </c>
      <c r="C277" s="134">
        <v>0</v>
      </c>
      <c r="D277" s="47">
        <v>0</v>
      </c>
      <c r="E277" s="47">
        <v>0</v>
      </c>
      <c r="F277" s="47">
        <v>0</v>
      </c>
      <c r="G277" s="47">
        <v>4</v>
      </c>
      <c r="H277" s="47">
        <v>1</v>
      </c>
      <c r="I277" s="39"/>
      <c r="J277" s="89">
        <f t="shared" si="20"/>
        <v>28</v>
      </c>
      <c r="K277" s="99">
        <v>33</v>
      </c>
    </row>
    <row r="278" spans="1:11" ht="12.75">
      <c r="A278" s="2" t="s">
        <v>12</v>
      </c>
      <c r="B278" s="124">
        <f t="shared" si="19"/>
        <v>8</v>
      </c>
      <c r="C278" s="134">
        <v>0</v>
      </c>
      <c r="D278" s="47">
        <v>0</v>
      </c>
      <c r="E278" s="47">
        <v>0</v>
      </c>
      <c r="F278" s="47">
        <v>1</v>
      </c>
      <c r="G278" s="47">
        <v>3</v>
      </c>
      <c r="H278" s="47">
        <v>4</v>
      </c>
      <c r="I278" s="39"/>
      <c r="J278" s="89">
        <f t="shared" si="20"/>
        <v>18</v>
      </c>
      <c r="K278" s="99">
        <v>26</v>
      </c>
    </row>
    <row r="279" spans="1:11" ht="12.75">
      <c r="A279" s="2" t="s">
        <v>13</v>
      </c>
      <c r="B279" s="124">
        <f t="shared" si="19"/>
        <v>9</v>
      </c>
      <c r="C279" s="134">
        <v>0</v>
      </c>
      <c r="D279" s="47">
        <v>0</v>
      </c>
      <c r="E279" s="47">
        <v>0</v>
      </c>
      <c r="F279" s="47">
        <v>0</v>
      </c>
      <c r="G279" s="47">
        <v>2</v>
      </c>
      <c r="H279" s="47">
        <v>7</v>
      </c>
      <c r="I279" s="39"/>
      <c r="J279" s="89">
        <f t="shared" si="20"/>
        <v>28</v>
      </c>
      <c r="K279" s="99">
        <v>37</v>
      </c>
    </row>
    <row r="280" spans="1:11" ht="12.75">
      <c r="A280" s="2" t="s">
        <v>14</v>
      </c>
      <c r="B280" s="124">
        <f t="shared" si="19"/>
        <v>11</v>
      </c>
      <c r="C280" s="134">
        <v>0</v>
      </c>
      <c r="D280" s="47">
        <v>0</v>
      </c>
      <c r="E280" s="47">
        <v>0</v>
      </c>
      <c r="F280" s="47">
        <v>1</v>
      </c>
      <c r="G280" s="47">
        <v>5</v>
      </c>
      <c r="H280" s="47">
        <v>5</v>
      </c>
      <c r="I280" s="39"/>
      <c r="J280" s="89">
        <f t="shared" si="20"/>
        <v>14</v>
      </c>
      <c r="K280" s="99">
        <v>25</v>
      </c>
    </row>
    <row r="281" spans="1:11" ht="14.25">
      <c r="A281" s="3" t="s">
        <v>229</v>
      </c>
      <c r="B281" s="124">
        <f t="shared" si="19"/>
        <v>13</v>
      </c>
      <c r="C281" s="134">
        <v>0</v>
      </c>
      <c r="D281" s="47">
        <v>0</v>
      </c>
      <c r="E281" s="47">
        <v>1</v>
      </c>
      <c r="F281" s="47">
        <v>2</v>
      </c>
      <c r="G281" s="47">
        <v>7</v>
      </c>
      <c r="H281" s="47">
        <v>3</v>
      </c>
      <c r="I281" s="39"/>
      <c r="J281" s="89">
        <f t="shared" si="20"/>
        <v>10</v>
      </c>
      <c r="K281" s="99">
        <v>23</v>
      </c>
    </row>
    <row r="282" spans="1:11" ht="12.75">
      <c r="A282" s="2" t="s">
        <v>15</v>
      </c>
      <c r="B282" s="124">
        <f t="shared" si="19"/>
        <v>14</v>
      </c>
      <c r="C282" s="134">
        <v>0</v>
      </c>
      <c r="D282" s="47">
        <v>1</v>
      </c>
      <c r="E282" s="47">
        <v>1</v>
      </c>
      <c r="F282" s="47">
        <v>1</v>
      </c>
      <c r="G282" s="47">
        <v>8</v>
      </c>
      <c r="H282" s="47">
        <v>3</v>
      </c>
      <c r="I282" s="39"/>
      <c r="J282" s="89">
        <f t="shared" si="20"/>
        <v>30</v>
      </c>
      <c r="K282" s="99">
        <v>44</v>
      </c>
    </row>
    <row r="283" spans="1:11" ht="12.75">
      <c r="A283" s="2" t="s">
        <v>16</v>
      </c>
      <c r="B283" s="124">
        <f t="shared" si="19"/>
        <v>7</v>
      </c>
      <c r="C283" s="134">
        <v>0</v>
      </c>
      <c r="D283" s="47">
        <v>1</v>
      </c>
      <c r="E283" s="47">
        <v>0</v>
      </c>
      <c r="F283" s="47">
        <v>1</v>
      </c>
      <c r="G283" s="47">
        <v>5</v>
      </c>
      <c r="H283" s="47">
        <v>0</v>
      </c>
      <c r="I283" s="39"/>
      <c r="J283" s="89">
        <f t="shared" si="20"/>
        <v>18</v>
      </c>
      <c r="K283" s="99">
        <v>25</v>
      </c>
    </row>
    <row r="284" spans="1:11" ht="12.75">
      <c r="A284" s="2" t="s">
        <v>17</v>
      </c>
      <c r="B284" s="124">
        <f t="shared" si="19"/>
        <v>7</v>
      </c>
      <c r="C284" s="134">
        <v>0</v>
      </c>
      <c r="D284" s="47">
        <v>0</v>
      </c>
      <c r="E284" s="47">
        <v>0</v>
      </c>
      <c r="F284" s="47">
        <v>0</v>
      </c>
      <c r="G284" s="47">
        <v>7</v>
      </c>
      <c r="H284" s="47">
        <v>0</v>
      </c>
      <c r="I284" s="39"/>
      <c r="J284" s="89">
        <f t="shared" si="20"/>
        <v>12</v>
      </c>
      <c r="K284" s="99">
        <v>19</v>
      </c>
    </row>
    <row r="285" spans="1:11" ht="12.75">
      <c r="A285" s="6" t="s">
        <v>23</v>
      </c>
      <c r="B285" s="122">
        <f t="shared" si="19"/>
        <v>110</v>
      </c>
      <c r="C285" s="121">
        <f aca="true" t="shared" si="21" ref="C285:H285">SUM(C266:C284)</f>
        <v>0</v>
      </c>
      <c r="D285" s="119">
        <f t="shared" si="21"/>
        <v>4</v>
      </c>
      <c r="E285" s="119">
        <f t="shared" si="21"/>
        <v>3</v>
      </c>
      <c r="F285" s="119">
        <f t="shared" si="21"/>
        <v>9</v>
      </c>
      <c r="G285" s="119">
        <f t="shared" si="21"/>
        <v>51</v>
      </c>
      <c r="H285" s="119">
        <f t="shared" si="21"/>
        <v>43</v>
      </c>
      <c r="I285" s="39"/>
      <c r="J285" s="119">
        <f>SUM(J266:J284)</f>
        <v>319</v>
      </c>
      <c r="K285" s="122">
        <f>SUM(K266:K284)</f>
        <v>429</v>
      </c>
    </row>
    <row r="286" spans="1:2" ht="12.75">
      <c r="A286" s="19" t="s">
        <v>238</v>
      </c>
      <c r="B286" s="20"/>
    </row>
    <row r="287" spans="1:2" ht="12.75">
      <c r="A287" s="19" t="s">
        <v>239</v>
      </c>
      <c r="B287" s="20"/>
    </row>
    <row r="290" spans="1:10" ht="12.75">
      <c r="A290" s="14" t="s">
        <v>302</v>
      </c>
      <c r="B290" s="14"/>
      <c r="C290" s="11"/>
      <c r="D290" s="11"/>
      <c r="E290" s="11"/>
      <c r="F290" s="11"/>
      <c r="G290" s="11"/>
      <c r="H290" s="11"/>
      <c r="I290" s="129"/>
      <c r="J290" s="14"/>
    </row>
    <row r="291" spans="1:10" ht="12.75">
      <c r="A291" s="16"/>
      <c r="B291" s="16"/>
      <c r="C291" s="11"/>
      <c r="D291" s="11"/>
      <c r="E291" s="11"/>
      <c r="F291" s="11"/>
      <c r="G291" s="11"/>
      <c r="H291" s="11"/>
      <c r="I291" s="129"/>
      <c r="J291" s="16"/>
    </row>
    <row r="292" spans="1:11" ht="12.75">
      <c r="A292" s="123"/>
      <c r="B292" s="120"/>
      <c r="C292" s="283" t="s">
        <v>248</v>
      </c>
      <c r="D292" s="284"/>
      <c r="E292" s="284"/>
      <c r="F292" s="285"/>
      <c r="G292" s="283" t="s">
        <v>237</v>
      </c>
      <c r="H292" s="285"/>
      <c r="I292" s="129"/>
      <c r="J292" s="120"/>
      <c r="K292" s="120"/>
    </row>
    <row r="293" spans="1:11" ht="12.75">
      <c r="A293" s="2"/>
      <c r="B293" s="2"/>
      <c r="C293" s="7" t="s">
        <v>233</v>
      </c>
      <c r="D293" s="5" t="s">
        <v>233</v>
      </c>
      <c r="E293" s="120"/>
      <c r="F293" s="7"/>
      <c r="G293" s="8"/>
      <c r="H293" s="8"/>
      <c r="I293" s="129"/>
      <c r="J293" s="8"/>
      <c r="K293" s="8"/>
    </row>
    <row r="294" spans="1:11" ht="12.75">
      <c r="A294" s="2"/>
      <c r="B294" s="2"/>
      <c r="C294" s="8" t="s">
        <v>234</v>
      </c>
      <c r="D294" s="5" t="s">
        <v>234</v>
      </c>
      <c r="E294" s="98"/>
      <c r="F294" s="8"/>
      <c r="G294" s="8"/>
      <c r="H294" s="8"/>
      <c r="I294" s="129"/>
      <c r="J294" s="8" t="s">
        <v>225</v>
      </c>
      <c r="K294" s="8"/>
    </row>
    <row r="295" spans="1:11" ht="12.75">
      <c r="A295" s="2"/>
      <c r="B295" s="2"/>
      <c r="C295" s="8" t="s">
        <v>231</v>
      </c>
      <c r="D295" s="5" t="s">
        <v>231</v>
      </c>
      <c r="E295" s="8" t="s">
        <v>233</v>
      </c>
      <c r="F295" s="8" t="s">
        <v>233</v>
      </c>
      <c r="G295" s="8" t="s">
        <v>233</v>
      </c>
      <c r="H295" s="8" t="s">
        <v>233</v>
      </c>
      <c r="I295" s="129"/>
      <c r="J295" s="8" t="s">
        <v>48</v>
      </c>
      <c r="K295" s="8" t="s">
        <v>198</v>
      </c>
    </row>
    <row r="296" spans="1:11" ht="12.75">
      <c r="A296" s="2"/>
      <c r="B296" s="2"/>
      <c r="C296" s="8" t="s">
        <v>227</v>
      </c>
      <c r="D296" s="5" t="s">
        <v>232</v>
      </c>
      <c r="E296" s="8" t="s">
        <v>235</v>
      </c>
      <c r="F296" s="8" t="s">
        <v>236</v>
      </c>
      <c r="G296" s="8" t="s">
        <v>235</v>
      </c>
      <c r="H296" s="8" t="s">
        <v>236</v>
      </c>
      <c r="I296" s="129"/>
      <c r="J296" s="8" t="s">
        <v>223</v>
      </c>
      <c r="K296" s="8" t="s">
        <v>205</v>
      </c>
    </row>
    <row r="297" spans="1:11" ht="14.25">
      <c r="A297" s="4"/>
      <c r="B297" s="17" t="s">
        <v>159</v>
      </c>
      <c r="C297" s="9" t="s">
        <v>226</v>
      </c>
      <c r="D297" s="17" t="s">
        <v>226</v>
      </c>
      <c r="E297" s="9" t="s">
        <v>62</v>
      </c>
      <c r="F297" s="9" t="s">
        <v>48</v>
      </c>
      <c r="G297" s="9" t="s">
        <v>62</v>
      </c>
      <c r="H297" s="9" t="s">
        <v>48</v>
      </c>
      <c r="I297" s="129"/>
      <c r="J297" s="9" t="s">
        <v>224</v>
      </c>
      <c r="K297" s="83" t="s">
        <v>259</v>
      </c>
    </row>
    <row r="298" spans="1:11" ht="12.75">
      <c r="A298" s="2" t="s">
        <v>0</v>
      </c>
      <c r="B298" s="124">
        <f>C298+D298+E298+F298+G298+H298</f>
        <v>4</v>
      </c>
      <c r="C298" s="134">
        <v>0</v>
      </c>
      <c r="D298" s="47">
        <v>0</v>
      </c>
      <c r="E298" s="47">
        <v>0</v>
      </c>
      <c r="F298" s="47">
        <v>0</v>
      </c>
      <c r="G298" s="47">
        <v>2</v>
      </c>
      <c r="H298" s="47">
        <v>2</v>
      </c>
      <c r="I298" s="39"/>
      <c r="J298" s="89">
        <f>K298-B298</f>
        <v>14</v>
      </c>
      <c r="K298" s="99">
        <v>18</v>
      </c>
    </row>
    <row r="299" spans="1:11" ht="12.75">
      <c r="A299" s="2" t="s">
        <v>1</v>
      </c>
      <c r="B299" s="124">
        <f aca="true" t="shared" si="22" ref="B299:B317">C299+D299+E299+F299+G299+H299</f>
        <v>2</v>
      </c>
      <c r="C299" s="134">
        <v>0</v>
      </c>
      <c r="D299" s="47">
        <v>0</v>
      </c>
      <c r="E299" s="47">
        <v>0</v>
      </c>
      <c r="F299" s="47">
        <v>2</v>
      </c>
      <c r="G299" s="47">
        <v>0</v>
      </c>
      <c r="H299" s="47">
        <v>0</v>
      </c>
      <c r="I299" s="39"/>
      <c r="J299" s="89">
        <f aca="true" t="shared" si="23" ref="J299:J316">K299-B299</f>
        <v>20</v>
      </c>
      <c r="K299" s="99">
        <v>22</v>
      </c>
    </row>
    <row r="300" spans="1:11" ht="12.75">
      <c r="A300" s="2" t="s">
        <v>2</v>
      </c>
      <c r="B300" s="124">
        <f t="shared" si="22"/>
        <v>0</v>
      </c>
      <c r="C300" s="134">
        <v>0</v>
      </c>
      <c r="D300" s="47">
        <v>0</v>
      </c>
      <c r="E300" s="47">
        <v>0</v>
      </c>
      <c r="F300" s="47">
        <v>0</v>
      </c>
      <c r="G300" s="47">
        <v>0</v>
      </c>
      <c r="H300" s="47">
        <v>0</v>
      </c>
      <c r="I300" s="39"/>
      <c r="J300" s="89">
        <f t="shared" si="23"/>
        <v>1</v>
      </c>
      <c r="K300" s="99">
        <v>1</v>
      </c>
    </row>
    <row r="301" spans="1:11" ht="12.75">
      <c r="A301" s="2" t="s">
        <v>3</v>
      </c>
      <c r="B301" s="124">
        <f t="shared" si="22"/>
        <v>5</v>
      </c>
      <c r="C301" s="134">
        <v>0</v>
      </c>
      <c r="D301" s="47">
        <v>1</v>
      </c>
      <c r="E301" s="47">
        <v>0</v>
      </c>
      <c r="F301" s="47">
        <v>0</v>
      </c>
      <c r="G301" s="47">
        <v>3</v>
      </c>
      <c r="H301" s="47">
        <v>1</v>
      </c>
      <c r="I301" s="39"/>
      <c r="J301" s="89">
        <f t="shared" si="23"/>
        <v>17</v>
      </c>
      <c r="K301" s="99">
        <v>22</v>
      </c>
    </row>
    <row r="302" spans="1:11" ht="12.75">
      <c r="A302" s="2" t="s">
        <v>4</v>
      </c>
      <c r="B302" s="124">
        <f t="shared" si="22"/>
        <v>7</v>
      </c>
      <c r="C302" s="134">
        <v>0</v>
      </c>
      <c r="D302" s="47">
        <v>0</v>
      </c>
      <c r="E302" s="47">
        <v>0</v>
      </c>
      <c r="F302" s="47">
        <v>1</v>
      </c>
      <c r="G302" s="47">
        <v>0</v>
      </c>
      <c r="H302" s="47">
        <v>6</v>
      </c>
      <c r="I302" s="39"/>
      <c r="J302" s="89">
        <f t="shared" si="23"/>
        <v>19</v>
      </c>
      <c r="K302" s="99">
        <v>26</v>
      </c>
    </row>
    <row r="303" spans="1:11" ht="14.25">
      <c r="A303" s="2" t="s">
        <v>230</v>
      </c>
      <c r="B303" s="124">
        <f t="shared" si="22"/>
        <v>4</v>
      </c>
      <c r="C303" s="134">
        <v>0</v>
      </c>
      <c r="D303" s="47">
        <v>0</v>
      </c>
      <c r="E303" s="47">
        <v>0</v>
      </c>
      <c r="F303" s="47">
        <v>0</v>
      </c>
      <c r="G303" s="47">
        <v>1</v>
      </c>
      <c r="H303" s="47">
        <v>3</v>
      </c>
      <c r="I303" s="39"/>
      <c r="J303" s="89">
        <f t="shared" si="23"/>
        <v>16</v>
      </c>
      <c r="K303" s="99">
        <v>20</v>
      </c>
    </row>
    <row r="304" spans="1:11" ht="12.75">
      <c r="A304" s="2" t="s">
        <v>6</v>
      </c>
      <c r="B304" s="124">
        <f t="shared" si="22"/>
        <v>1</v>
      </c>
      <c r="C304" s="134">
        <v>0</v>
      </c>
      <c r="D304" s="47">
        <v>0</v>
      </c>
      <c r="E304" s="47">
        <v>0</v>
      </c>
      <c r="F304" s="47">
        <v>0</v>
      </c>
      <c r="G304" s="47">
        <v>0</v>
      </c>
      <c r="H304" s="47">
        <v>1</v>
      </c>
      <c r="I304" s="39"/>
      <c r="J304" s="89">
        <f t="shared" si="23"/>
        <v>13</v>
      </c>
      <c r="K304" s="99">
        <v>14</v>
      </c>
    </row>
    <row r="305" spans="1:11" ht="12.75">
      <c r="A305" s="3" t="s">
        <v>7</v>
      </c>
      <c r="B305" s="124">
        <f t="shared" si="22"/>
        <v>4</v>
      </c>
      <c r="C305" s="134">
        <v>0</v>
      </c>
      <c r="D305" s="47">
        <v>0</v>
      </c>
      <c r="E305" s="47">
        <v>0</v>
      </c>
      <c r="F305" s="47">
        <v>0</v>
      </c>
      <c r="G305" s="47">
        <v>1</v>
      </c>
      <c r="H305" s="47">
        <v>3</v>
      </c>
      <c r="I305" s="39"/>
      <c r="J305" s="89">
        <f t="shared" si="23"/>
        <v>14</v>
      </c>
      <c r="K305" s="99">
        <v>18</v>
      </c>
    </row>
    <row r="306" spans="1:11" ht="12.75">
      <c r="A306" s="2" t="s">
        <v>8</v>
      </c>
      <c r="B306" s="124">
        <f t="shared" si="22"/>
        <v>3</v>
      </c>
      <c r="C306" s="134">
        <v>0</v>
      </c>
      <c r="D306" s="47">
        <v>0</v>
      </c>
      <c r="E306" s="47">
        <v>1</v>
      </c>
      <c r="F306" s="47">
        <v>1</v>
      </c>
      <c r="G306" s="47">
        <v>1</v>
      </c>
      <c r="H306" s="47">
        <v>0</v>
      </c>
      <c r="I306" s="39"/>
      <c r="J306" s="89">
        <f t="shared" si="23"/>
        <v>12</v>
      </c>
      <c r="K306" s="99">
        <v>15</v>
      </c>
    </row>
    <row r="307" spans="1:11" ht="12.75">
      <c r="A307" s="2" t="s">
        <v>9</v>
      </c>
      <c r="B307" s="124">
        <f t="shared" si="22"/>
        <v>2</v>
      </c>
      <c r="C307" s="134">
        <v>0</v>
      </c>
      <c r="D307" s="47">
        <v>0</v>
      </c>
      <c r="E307" s="47">
        <v>1</v>
      </c>
      <c r="F307" s="47">
        <v>0</v>
      </c>
      <c r="G307" s="47">
        <v>0</v>
      </c>
      <c r="H307" s="47">
        <v>1</v>
      </c>
      <c r="I307" s="39"/>
      <c r="J307" s="89">
        <f t="shared" si="23"/>
        <v>13</v>
      </c>
      <c r="K307" s="99">
        <v>15</v>
      </c>
    </row>
    <row r="308" spans="1:11" ht="12.75">
      <c r="A308" s="2" t="s">
        <v>10</v>
      </c>
      <c r="B308" s="124">
        <f t="shared" si="22"/>
        <v>6</v>
      </c>
      <c r="C308" s="134">
        <v>0</v>
      </c>
      <c r="D308" s="47">
        <v>0</v>
      </c>
      <c r="E308" s="47">
        <v>0</v>
      </c>
      <c r="F308" s="47">
        <v>1</v>
      </c>
      <c r="G308" s="47">
        <v>4</v>
      </c>
      <c r="H308" s="47">
        <v>1</v>
      </c>
      <c r="I308" s="39"/>
      <c r="J308" s="89">
        <f t="shared" si="23"/>
        <v>20</v>
      </c>
      <c r="K308" s="99">
        <v>26</v>
      </c>
    </row>
    <row r="309" spans="1:11" ht="12.75">
      <c r="A309" s="3" t="s">
        <v>11</v>
      </c>
      <c r="B309" s="124">
        <f t="shared" si="22"/>
        <v>6</v>
      </c>
      <c r="C309" s="134">
        <v>0</v>
      </c>
      <c r="D309" s="47">
        <v>0</v>
      </c>
      <c r="E309" s="47">
        <v>0</v>
      </c>
      <c r="F309" s="47">
        <v>0</v>
      </c>
      <c r="G309" s="47">
        <v>4</v>
      </c>
      <c r="H309" s="47">
        <v>2</v>
      </c>
      <c r="I309" s="39"/>
      <c r="J309" s="89">
        <f t="shared" si="23"/>
        <v>27</v>
      </c>
      <c r="K309" s="99">
        <v>33</v>
      </c>
    </row>
    <row r="310" spans="1:11" ht="12.75">
      <c r="A310" s="2" t="s">
        <v>12</v>
      </c>
      <c r="B310" s="124">
        <f t="shared" si="22"/>
        <v>10</v>
      </c>
      <c r="C310" s="134">
        <v>0</v>
      </c>
      <c r="D310" s="47">
        <v>0</v>
      </c>
      <c r="E310" s="47">
        <v>0</v>
      </c>
      <c r="F310" s="47">
        <v>2</v>
      </c>
      <c r="G310" s="47">
        <v>3</v>
      </c>
      <c r="H310" s="47">
        <v>5</v>
      </c>
      <c r="I310" s="39"/>
      <c r="J310" s="89">
        <f t="shared" si="23"/>
        <v>16</v>
      </c>
      <c r="K310" s="99">
        <v>26</v>
      </c>
    </row>
    <row r="311" spans="1:11" ht="12.75">
      <c r="A311" s="2" t="s">
        <v>13</v>
      </c>
      <c r="B311" s="124">
        <f t="shared" si="22"/>
        <v>8</v>
      </c>
      <c r="C311" s="134">
        <v>0</v>
      </c>
      <c r="D311" s="47">
        <v>0</v>
      </c>
      <c r="E311" s="47">
        <v>0</v>
      </c>
      <c r="F311" s="47">
        <v>1</v>
      </c>
      <c r="G311" s="47">
        <v>2</v>
      </c>
      <c r="H311" s="47">
        <v>5</v>
      </c>
      <c r="I311" s="39"/>
      <c r="J311" s="89">
        <f t="shared" si="23"/>
        <v>29</v>
      </c>
      <c r="K311" s="99">
        <v>37</v>
      </c>
    </row>
    <row r="312" spans="1:11" ht="12.75">
      <c r="A312" s="2" t="s">
        <v>14</v>
      </c>
      <c r="B312" s="124">
        <f t="shared" si="22"/>
        <v>8</v>
      </c>
      <c r="C312" s="134">
        <v>0</v>
      </c>
      <c r="D312" s="47">
        <v>1</v>
      </c>
      <c r="E312" s="47">
        <v>0</v>
      </c>
      <c r="F312" s="47">
        <v>2</v>
      </c>
      <c r="G312" s="47">
        <v>2</v>
      </c>
      <c r="H312" s="47">
        <v>3</v>
      </c>
      <c r="I312" s="39"/>
      <c r="J312" s="89">
        <f t="shared" si="23"/>
        <v>17</v>
      </c>
      <c r="K312" s="99">
        <v>25</v>
      </c>
    </row>
    <row r="313" spans="1:11" ht="14.25">
      <c r="A313" s="3" t="s">
        <v>229</v>
      </c>
      <c r="B313" s="124">
        <f t="shared" si="22"/>
        <v>12</v>
      </c>
      <c r="C313" s="134">
        <v>0</v>
      </c>
      <c r="D313" s="47">
        <v>0</v>
      </c>
      <c r="E313" s="47">
        <v>1</v>
      </c>
      <c r="F313" s="47">
        <v>0</v>
      </c>
      <c r="G313" s="47">
        <v>7</v>
      </c>
      <c r="H313" s="47">
        <v>4</v>
      </c>
      <c r="I313" s="39"/>
      <c r="J313" s="89">
        <f t="shared" si="23"/>
        <v>11</v>
      </c>
      <c r="K313" s="99">
        <v>23</v>
      </c>
    </row>
    <row r="314" spans="1:11" ht="12.75">
      <c r="A314" s="2" t="s">
        <v>15</v>
      </c>
      <c r="B314" s="124">
        <f t="shared" si="22"/>
        <v>16</v>
      </c>
      <c r="C314" s="134">
        <v>0</v>
      </c>
      <c r="D314" s="47">
        <v>1</v>
      </c>
      <c r="E314" s="47">
        <v>0</v>
      </c>
      <c r="F314" s="47">
        <v>0</v>
      </c>
      <c r="G314" s="47">
        <v>9</v>
      </c>
      <c r="H314" s="47">
        <v>6</v>
      </c>
      <c r="I314" s="39"/>
      <c r="J314" s="89">
        <f t="shared" si="23"/>
        <v>28</v>
      </c>
      <c r="K314" s="99">
        <v>44</v>
      </c>
    </row>
    <row r="315" spans="1:11" ht="12.75">
      <c r="A315" s="2" t="s">
        <v>16</v>
      </c>
      <c r="B315" s="124">
        <f t="shared" si="22"/>
        <v>8</v>
      </c>
      <c r="C315" s="134">
        <v>0</v>
      </c>
      <c r="D315" s="47">
        <v>1</v>
      </c>
      <c r="E315" s="47">
        <v>0</v>
      </c>
      <c r="F315" s="47">
        <v>0</v>
      </c>
      <c r="G315" s="47">
        <v>5</v>
      </c>
      <c r="H315" s="47">
        <v>2</v>
      </c>
      <c r="I315" s="39"/>
      <c r="J315" s="89">
        <f t="shared" si="23"/>
        <v>17</v>
      </c>
      <c r="K315" s="99">
        <v>25</v>
      </c>
    </row>
    <row r="316" spans="1:11" ht="12.75">
      <c r="A316" s="2" t="s">
        <v>17</v>
      </c>
      <c r="B316" s="124">
        <f t="shared" si="22"/>
        <v>9</v>
      </c>
      <c r="C316" s="134">
        <v>0</v>
      </c>
      <c r="D316" s="47">
        <v>0</v>
      </c>
      <c r="E316" s="47">
        <v>0</v>
      </c>
      <c r="F316" s="47">
        <v>0</v>
      </c>
      <c r="G316" s="47">
        <v>8</v>
      </c>
      <c r="H316" s="47">
        <v>1</v>
      </c>
      <c r="I316" s="39"/>
      <c r="J316" s="89">
        <f t="shared" si="23"/>
        <v>10</v>
      </c>
      <c r="K316" s="99">
        <v>19</v>
      </c>
    </row>
    <row r="317" spans="1:11" ht="12.75">
      <c r="A317" s="6" t="s">
        <v>23</v>
      </c>
      <c r="B317" s="122">
        <f t="shared" si="22"/>
        <v>115</v>
      </c>
      <c r="C317" s="121">
        <f aca="true" t="shared" si="24" ref="C317:H317">SUM(C298:C316)</f>
        <v>0</v>
      </c>
      <c r="D317" s="119">
        <f t="shared" si="24"/>
        <v>4</v>
      </c>
      <c r="E317" s="119">
        <f t="shared" si="24"/>
        <v>3</v>
      </c>
      <c r="F317" s="119">
        <f t="shared" si="24"/>
        <v>10</v>
      </c>
      <c r="G317" s="119">
        <f t="shared" si="24"/>
        <v>52</v>
      </c>
      <c r="H317" s="119">
        <f t="shared" si="24"/>
        <v>46</v>
      </c>
      <c r="I317" s="39"/>
      <c r="J317" s="119">
        <f>SUM(J298:J316)</f>
        <v>314</v>
      </c>
      <c r="K317" s="122">
        <f>SUM(K298:K316)</f>
        <v>429</v>
      </c>
    </row>
    <row r="318" spans="1:2" ht="12.75">
      <c r="A318" s="19" t="s">
        <v>238</v>
      </c>
      <c r="B318" s="20"/>
    </row>
    <row r="319" spans="1:2" ht="12.75">
      <c r="A319" s="19" t="s">
        <v>239</v>
      </c>
      <c r="B319" s="20"/>
    </row>
    <row r="322" spans="1:10" ht="12.75">
      <c r="A322" s="14" t="s">
        <v>300</v>
      </c>
      <c r="B322" s="14"/>
      <c r="C322" s="11"/>
      <c r="D322" s="11"/>
      <c r="E322" s="11"/>
      <c r="F322" s="11"/>
      <c r="G322" s="11"/>
      <c r="H322" s="11"/>
      <c r="I322" s="129"/>
      <c r="J322" s="14"/>
    </row>
    <row r="323" spans="1:10" ht="12.75">
      <c r="A323" s="16"/>
      <c r="B323" s="16"/>
      <c r="C323" s="11"/>
      <c r="D323" s="11"/>
      <c r="E323" s="11"/>
      <c r="F323" s="11"/>
      <c r="G323" s="11"/>
      <c r="H323" s="11"/>
      <c r="I323" s="129"/>
      <c r="J323" s="16"/>
    </row>
    <row r="324" spans="1:11" ht="12.75">
      <c r="A324" s="123"/>
      <c r="B324" s="120"/>
      <c r="C324" s="283" t="s">
        <v>248</v>
      </c>
      <c r="D324" s="284"/>
      <c r="E324" s="284"/>
      <c r="F324" s="285"/>
      <c r="G324" s="283" t="s">
        <v>237</v>
      </c>
      <c r="H324" s="285"/>
      <c r="I324" s="129"/>
      <c r="J324" s="120"/>
      <c r="K324" s="120"/>
    </row>
    <row r="325" spans="1:11" ht="12.75">
      <c r="A325" s="2"/>
      <c r="B325" s="2"/>
      <c r="C325" s="7" t="s">
        <v>233</v>
      </c>
      <c r="D325" s="5" t="s">
        <v>233</v>
      </c>
      <c r="E325" s="120"/>
      <c r="F325" s="7"/>
      <c r="G325" s="8"/>
      <c r="H325" s="8"/>
      <c r="I325" s="129"/>
      <c r="J325" s="8"/>
      <c r="K325" s="8"/>
    </row>
    <row r="326" spans="1:11" ht="12.75">
      <c r="A326" s="2"/>
      <c r="B326" s="2"/>
      <c r="C326" s="8" t="s">
        <v>234</v>
      </c>
      <c r="D326" s="5" t="s">
        <v>234</v>
      </c>
      <c r="E326" s="98"/>
      <c r="F326" s="8"/>
      <c r="G326" s="8"/>
      <c r="H326" s="8"/>
      <c r="I326" s="129"/>
      <c r="J326" s="8" t="s">
        <v>225</v>
      </c>
      <c r="K326" s="8"/>
    </row>
    <row r="327" spans="1:11" ht="12.75">
      <c r="A327" s="2"/>
      <c r="B327" s="2"/>
      <c r="C327" s="8" t="s">
        <v>231</v>
      </c>
      <c r="D327" s="5" t="s">
        <v>231</v>
      </c>
      <c r="E327" s="8" t="s">
        <v>233</v>
      </c>
      <c r="F327" s="8" t="s">
        <v>233</v>
      </c>
      <c r="G327" s="8" t="s">
        <v>233</v>
      </c>
      <c r="H327" s="8" t="s">
        <v>233</v>
      </c>
      <c r="I327" s="129"/>
      <c r="J327" s="8" t="s">
        <v>48</v>
      </c>
      <c r="K327" s="8" t="s">
        <v>198</v>
      </c>
    </row>
    <row r="328" spans="1:11" ht="12.75">
      <c r="A328" s="2"/>
      <c r="B328" s="2"/>
      <c r="C328" s="8" t="s">
        <v>227</v>
      </c>
      <c r="D328" s="5" t="s">
        <v>232</v>
      </c>
      <c r="E328" s="8" t="s">
        <v>235</v>
      </c>
      <c r="F328" s="8" t="s">
        <v>236</v>
      </c>
      <c r="G328" s="8" t="s">
        <v>235</v>
      </c>
      <c r="H328" s="8" t="s">
        <v>236</v>
      </c>
      <c r="I328" s="129"/>
      <c r="J328" s="8" t="s">
        <v>223</v>
      </c>
      <c r="K328" s="8" t="s">
        <v>205</v>
      </c>
    </row>
    <row r="329" spans="1:11" ht="14.25">
      <c r="A329" s="4"/>
      <c r="B329" s="17" t="s">
        <v>159</v>
      </c>
      <c r="C329" s="9" t="s">
        <v>226</v>
      </c>
      <c r="D329" s="17" t="s">
        <v>226</v>
      </c>
      <c r="E329" s="9" t="s">
        <v>62</v>
      </c>
      <c r="F329" s="9" t="s">
        <v>48</v>
      </c>
      <c r="G329" s="9" t="s">
        <v>62</v>
      </c>
      <c r="H329" s="9" t="s">
        <v>48</v>
      </c>
      <c r="I329" s="129"/>
      <c r="J329" s="9" t="s">
        <v>224</v>
      </c>
      <c r="K329" s="83" t="s">
        <v>259</v>
      </c>
    </row>
    <row r="330" spans="1:11" ht="12.75">
      <c r="A330" s="2" t="s">
        <v>0</v>
      </c>
      <c r="B330" s="124">
        <f>C330+D330+E330+F330+G330+H330</f>
        <v>5</v>
      </c>
      <c r="C330" s="134">
        <v>0</v>
      </c>
      <c r="D330" s="47">
        <v>0</v>
      </c>
      <c r="E330" s="47">
        <v>0</v>
      </c>
      <c r="F330" s="47">
        <v>0</v>
      </c>
      <c r="G330" s="47">
        <v>2</v>
      </c>
      <c r="H330" s="47">
        <v>3</v>
      </c>
      <c r="I330" s="39"/>
      <c r="J330" s="89">
        <f>K330-B330</f>
        <v>13</v>
      </c>
      <c r="K330" s="99">
        <v>18</v>
      </c>
    </row>
    <row r="331" spans="1:11" ht="12.75">
      <c r="A331" s="2" t="s">
        <v>1</v>
      </c>
      <c r="B331" s="124">
        <f aca="true" t="shared" si="25" ref="B331:B349">C331+D331+E331+F331+G331+H331</f>
        <v>1</v>
      </c>
      <c r="C331" s="134">
        <v>0</v>
      </c>
      <c r="D331" s="47">
        <v>0</v>
      </c>
      <c r="E331" s="47">
        <v>0</v>
      </c>
      <c r="F331" s="47">
        <v>1</v>
      </c>
      <c r="G331" s="47">
        <v>0</v>
      </c>
      <c r="H331" s="47">
        <v>0</v>
      </c>
      <c r="I331" s="39"/>
      <c r="J331" s="89">
        <f aca="true" t="shared" si="26" ref="J331:J348">K331-B331</f>
        <v>21</v>
      </c>
      <c r="K331" s="99">
        <v>22</v>
      </c>
    </row>
    <row r="332" spans="1:11" ht="12.75">
      <c r="A332" s="2" t="s">
        <v>2</v>
      </c>
      <c r="B332" s="124">
        <f t="shared" si="25"/>
        <v>0</v>
      </c>
      <c r="C332" s="134">
        <v>0</v>
      </c>
      <c r="D332" s="47">
        <v>0</v>
      </c>
      <c r="E332" s="47">
        <v>0</v>
      </c>
      <c r="F332" s="47">
        <v>0</v>
      </c>
      <c r="G332" s="47">
        <v>0</v>
      </c>
      <c r="H332" s="47">
        <v>0</v>
      </c>
      <c r="I332" s="39"/>
      <c r="J332" s="89">
        <f t="shared" si="26"/>
        <v>1</v>
      </c>
      <c r="K332" s="99">
        <v>1</v>
      </c>
    </row>
    <row r="333" spans="1:11" ht="12.75">
      <c r="A333" s="2" t="s">
        <v>3</v>
      </c>
      <c r="B333" s="124">
        <f t="shared" si="25"/>
        <v>5</v>
      </c>
      <c r="C333" s="134">
        <v>0</v>
      </c>
      <c r="D333" s="47">
        <v>1</v>
      </c>
      <c r="E333" s="47">
        <v>1</v>
      </c>
      <c r="F333" s="47">
        <v>0</v>
      </c>
      <c r="G333" s="47">
        <v>2</v>
      </c>
      <c r="H333" s="47">
        <v>1</v>
      </c>
      <c r="I333" s="39"/>
      <c r="J333" s="89">
        <f t="shared" si="26"/>
        <v>17</v>
      </c>
      <c r="K333" s="99">
        <v>22</v>
      </c>
    </row>
    <row r="334" spans="1:11" ht="12.75">
      <c r="A334" s="2" t="s">
        <v>4</v>
      </c>
      <c r="B334" s="124">
        <f t="shared" si="25"/>
        <v>4</v>
      </c>
      <c r="C334" s="134">
        <v>0</v>
      </c>
      <c r="D334" s="47">
        <v>0</v>
      </c>
      <c r="E334" s="47">
        <v>0</v>
      </c>
      <c r="F334" s="47">
        <v>1</v>
      </c>
      <c r="G334" s="47">
        <v>0</v>
      </c>
      <c r="H334" s="47">
        <v>3</v>
      </c>
      <c r="I334" s="39"/>
      <c r="J334" s="89">
        <f t="shared" si="26"/>
        <v>22</v>
      </c>
      <c r="K334" s="99">
        <v>26</v>
      </c>
    </row>
    <row r="335" spans="1:11" ht="14.25">
      <c r="A335" s="2" t="s">
        <v>230</v>
      </c>
      <c r="B335" s="124">
        <f t="shared" si="25"/>
        <v>3</v>
      </c>
      <c r="C335" s="134">
        <v>0</v>
      </c>
      <c r="D335" s="47">
        <v>0</v>
      </c>
      <c r="E335" s="47">
        <v>0</v>
      </c>
      <c r="F335" s="47">
        <v>0</v>
      </c>
      <c r="G335" s="47">
        <v>1</v>
      </c>
      <c r="H335" s="47">
        <v>2</v>
      </c>
      <c r="I335" s="39"/>
      <c r="J335" s="89">
        <f t="shared" si="26"/>
        <v>17</v>
      </c>
      <c r="K335" s="99">
        <v>20</v>
      </c>
    </row>
    <row r="336" spans="1:11" ht="12.75">
      <c r="A336" s="2" t="s">
        <v>6</v>
      </c>
      <c r="B336" s="124">
        <f t="shared" si="25"/>
        <v>0</v>
      </c>
      <c r="C336" s="134">
        <v>0</v>
      </c>
      <c r="D336" s="47">
        <v>0</v>
      </c>
      <c r="E336" s="47">
        <v>0</v>
      </c>
      <c r="F336" s="47">
        <v>0</v>
      </c>
      <c r="G336" s="47">
        <v>0</v>
      </c>
      <c r="H336" s="47">
        <v>0</v>
      </c>
      <c r="I336" s="39"/>
      <c r="J336" s="89">
        <f t="shared" si="26"/>
        <v>14</v>
      </c>
      <c r="K336" s="99">
        <v>14</v>
      </c>
    </row>
    <row r="337" spans="1:11" ht="12.75">
      <c r="A337" s="3" t="s">
        <v>7</v>
      </c>
      <c r="B337" s="124">
        <f t="shared" si="25"/>
        <v>2</v>
      </c>
      <c r="C337" s="134">
        <v>0</v>
      </c>
      <c r="D337" s="47">
        <v>0</v>
      </c>
      <c r="E337" s="47">
        <v>0</v>
      </c>
      <c r="F337" s="47">
        <v>0</v>
      </c>
      <c r="G337" s="47">
        <v>1</v>
      </c>
      <c r="H337" s="47">
        <v>1</v>
      </c>
      <c r="I337" s="39"/>
      <c r="J337" s="89">
        <f t="shared" si="26"/>
        <v>16</v>
      </c>
      <c r="K337" s="99">
        <v>18</v>
      </c>
    </row>
    <row r="338" spans="1:11" ht="12.75">
      <c r="A338" s="2" t="s">
        <v>8</v>
      </c>
      <c r="B338" s="124">
        <f t="shared" si="25"/>
        <v>2</v>
      </c>
      <c r="C338" s="134">
        <v>0</v>
      </c>
      <c r="D338" s="47">
        <v>0</v>
      </c>
      <c r="E338" s="47">
        <v>1</v>
      </c>
      <c r="F338" s="47">
        <v>0</v>
      </c>
      <c r="G338" s="47">
        <v>0</v>
      </c>
      <c r="H338" s="47">
        <v>1</v>
      </c>
      <c r="I338" s="39"/>
      <c r="J338" s="89">
        <f t="shared" si="26"/>
        <v>13</v>
      </c>
      <c r="K338" s="99">
        <v>15</v>
      </c>
    </row>
    <row r="339" spans="1:11" ht="12.75">
      <c r="A339" s="2" t="s">
        <v>9</v>
      </c>
      <c r="B339" s="124">
        <f t="shared" si="25"/>
        <v>2</v>
      </c>
      <c r="C339" s="134">
        <v>0</v>
      </c>
      <c r="D339" s="47">
        <v>0</v>
      </c>
      <c r="E339" s="47">
        <v>0</v>
      </c>
      <c r="F339" s="47">
        <v>0</v>
      </c>
      <c r="G339" s="47">
        <v>1</v>
      </c>
      <c r="H339" s="47">
        <v>1</v>
      </c>
      <c r="I339" s="39"/>
      <c r="J339" s="89">
        <f t="shared" si="26"/>
        <v>13</v>
      </c>
      <c r="K339" s="99">
        <v>15</v>
      </c>
    </row>
    <row r="340" spans="1:11" ht="12.75">
      <c r="A340" s="2" t="s">
        <v>10</v>
      </c>
      <c r="B340" s="124">
        <f t="shared" si="25"/>
        <v>5</v>
      </c>
      <c r="C340" s="134">
        <v>0</v>
      </c>
      <c r="D340" s="47">
        <v>0</v>
      </c>
      <c r="E340" s="47">
        <v>0</v>
      </c>
      <c r="F340" s="47">
        <v>0</v>
      </c>
      <c r="G340" s="47">
        <v>4</v>
      </c>
      <c r="H340" s="47">
        <v>1</v>
      </c>
      <c r="I340" s="39"/>
      <c r="J340" s="89">
        <f t="shared" si="26"/>
        <v>21</v>
      </c>
      <c r="K340" s="99">
        <v>26</v>
      </c>
    </row>
    <row r="341" spans="1:11" ht="12.75">
      <c r="A341" s="3" t="s">
        <v>11</v>
      </c>
      <c r="B341" s="124">
        <f t="shared" si="25"/>
        <v>6</v>
      </c>
      <c r="C341" s="134">
        <v>0</v>
      </c>
      <c r="D341" s="47">
        <v>0</v>
      </c>
      <c r="E341" s="47">
        <v>0</v>
      </c>
      <c r="F341" s="47">
        <v>1</v>
      </c>
      <c r="G341" s="47">
        <v>4</v>
      </c>
      <c r="H341" s="47">
        <v>1</v>
      </c>
      <c r="I341" s="39"/>
      <c r="J341" s="89">
        <f t="shared" si="26"/>
        <v>27</v>
      </c>
      <c r="K341" s="99">
        <v>33</v>
      </c>
    </row>
    <row r="342" spans="1:11" ht="12.75">
      <c r="A342" s="2" t="s">
        <v>12</v>
      </c>
      <c r="B342" s="124">
        <f t="shared" si="25"/>
        <v>9</v>
      </c>
      <c r="C342" s="134">
        <v>0</v>
      </c>
      <c r="D342" s="47">
        <v>0</v>
      </c>
      <c r="E342" s="47">
        <v>0</v>
      </c>
      <c r="F342" s="47">
        <v>2</v>
      </c>
      <c r="G342" s="47">
        <v>3</v>
      </c>
      <c r="H342" s="47">
        <v>4</v>
      </c>
      <c r="I342" s="39"/>
      <c r="J342" s="89">
        <f t="shared" si="26"/>
        <v>17</v>
      </c>
      <c r="K342" s="99">
        <v>26</v>
      </c>
    </row>
    <row r="343" spans="1:11" ht="12.75">
      <c r="A343" s="2" t="s">
        <v>13</v>
      </c>
      <c r="B343" s="124">
        <f t="shared" si="25"/>
        <v>14</v>
      </c>
      <c r="C343" s="134">
        <v>0</v>
      </c>
      <c r="D343" s="47">
        <v>0</v>
      </c>
      <c r="E343" s="47">
        <v>0</v>
      </c>
      <c r="F343" s="47">
        <v>3</v>
      </c>
      <c r="G343" s="47">
        <v>2</v>
      </c>
      <c r="H343" s="47">
        <v>9</v>
      </c>
      <c r="I343" s="39"/>
      <c r="J343" s="89">
        <f t="shared" si="26"/>
        <v>23</v>
      </c>
      <c r="K343" s="99">
        <v>37</v>
      </c>
    </row>
    <row r="344" spans="1:11" ht="12.75">
      <c r="A344" s="2" t="s">
        <v>14</v>
      </c>
      <c r="B344" s="124">
        <f t="shared" si="25"/>
        <v>8</v>
      </c>
      <c r="C344" s="134">
        <v>0</v>
      </c>
      <c r="D344" s="47">
        <v>1</v>
      </c>
      <c r="E344" s="47">
        <v>0</v>
      </c>
      <c r="F344" s="47">
        <v>2</v>
      </c>
      <c r="G344" s="47">
        <v>2</v>
      </c>
      <c r="H344" s="47">
        <v>3</v>
      </c>
      <c r="I344" s="39"/>
      <c r="J344" s="89">
        <f t="shared" si="26"/>
        <v>17</v>
      </c>
      <c r="K344" s="99">
        <v>25</v>
      </c>
    </row>
    <row r="345" spans="1:11" ht="14.25">
      <c r="A345" s="3" t="s">
        <v>229</v>
      </c>
      <c r="B345" s="124">
        <f t="shared" si="25"/>
        <v>9</v>
      </c>
      <c r="C345" s="134">
        <v>0</v>
      </c>
      <c r="D345" s="47">
        <v>0</v>
      </c>
      <c r="E345" s="47">
        <v>1</v>
      </c>
      <c r="F345" s="47">
        <v>0</v>
      </c>
      <c r="G345" s="47">
        <v>6</v>
      </c>
      <c r="H345" s="47">
        <v>2</v>
      </c>
      <c r="I345" s="39"/>
      <c r="J345" s="89">
        <f t="shared" si="26"/>
        <v>14</v>
      </c>
      <c r="K345" s="99">
        <v>23</v>
      </c>
    </row>
    <row r="346" spans="1:11" ht="12.75">
      <c r="A346" s="2" t="s">
        <v>15</v>
      </c>
      <c r="B346" s="124">
        <f t="shared" si="25"/>
        <v>19</v>
      </c>
      <c r="C346" s="134">
        <v>0</v>
      </c>
      <c r="D346" s="47">
        <v>1</v>
      </c>
      <c r="E346" s="47">
        <v>1</v>
      </c>
      <c r="F346" s="47">
        <v>1</v>
      </c>
      <c r="G346" s="47">
        <v>9</v>
      </c>
      <c r="H346" s="47">
        <v>7</v>
      </c>
      <c r="I346" s="39"/>
      <c r="J346" s="89">
        <f t="shared" si="26"/>
        <v>25</v>
      </c>
      <c r="K346" s="99">
        <v>44</v>
      </c>
    </row>
    <row r="347" spans="1:11" ht="12.75">
      <c r="A347" s="2" t="s">
        <v>16</v>
      </c>
      <c r="B347" s="124">
        <f t="shared" si="25"/>
        <v>7</v>
      </c>
      <c r="C347" s="134">
        <v>0</v>
      </c>
      <c r="D347" s="47">
        <v>2</v>
      </c>
      <c r="E347" s="47">
        <v>0</v>
      </c>
      <c r="F347" s="47">
        <v>0</v>
      </c>
      <c r="G347" s="47">
        <v>5</v>
      </c>
      <c r="H347" s="47">
        <v>0</v>
      </c>
      <c r="I347" s="39"/>
      <c r="J347" s="89">
        <f t="shared" si="26"/>
        <v>18</v>
      </c>
      <c r="K347" s="99">
        <v>25</v>
      </c>
    </row>
    <row r="348" spans="1:11" ht="12.75">
      <c r="A348" s="2" t="s">
        <v>17</v>
      </c>
      <c r="B348" s="124">
        <f t="shared" si="25"/>
        <v>9</v>
      </c>
      <c r="C348" s="134">
        <v>0</v>
      </c>
      <c r="D348" s="47">
        <v>0</v>
      </c>
      <c r="E348" s="47">
        <v>0</v>
      </c>
      <c r="F348" s="47">
        <v>0</v>
      </c>
      <c r="G348" s="47">
        <v>9</v>
      </c>
      <c r="H348" s="47">
        <v>0</v>
      </c>
      <c r="I348" s="39"/>
      <c r="J348" s="89">
        <f t="shared" si="26"/>
        <v>10</v>
      </c>
      <c r="K348" s="99">
        <v>19</v>
      </c>
    </row>
    <row r="349" spans="1:11" ht="12.75">
      <c r="A349" s="6" t="s">
        <v>23</v>
      </c>
      <c r="B349" s="122">
        <f t="shared" si="25"/>
        <v>110</v>
      </c>
      <c r="C349" s="121">
        <f aca="true" t="shared" si="27" ref="C349:H349">SUM(C330:C348)</f>
        <v>0</v>
      </c>
      <c r="D349" s="119">
        <f t="shared" si="27"/>
        <v>5</v>
      </c>
      <c r="E349" s="119">
        <f t="shared" si="27"/>
        <v>4</v>
      </c>
      <c r="F349" s="119">
        <f t="shared" si="27"/>
        <v>11</v>
      </c>
      <c r="G349" s="119">
        <f t="shared" si="27"/>
        <v>51</v>
      </c>
      <c r="H349" s="119">
        <f t="shared" si="27"/>
        <v>39</v>
      </c>
      <c r="I349" s="39"/>
      <c r="J349" s="119">
        <f>SUM(J330:J348)</f>
        <v>319</v>
      </c>
      <c r="K349" s="122">
        <f>SUM(K330:K348)</f>
        <v>429</v>
      </c>
    </row>
    <row r="350" spans="1:2" ht="12.75">
      <c r="A350" s="19" t="s">
        <v>238</v>
      </c>
      <c r="B350" s="20"/>
    </row>
    <row r="351" spans="1:2" ht="12.75">
      <c r="A351" s="19" t="s">
        <v>239</v>
      </c>
      <c r="B351" s="20"/>
    </row>
    <row r="354" spans="1:10" ht="12.75">
      <c r="A354" s="14" t="s">
        <v>292</v>
      </c>
      <c r="B354" s="14"/>
      <c r="C354" s="11"/>
      <c r="D354" s="11"/>
      <c r="E354" s="11"/>
      <c r="F354" s="11"/>
      <c r="G354" s="11"/>
      <c r="H354" s="11"/>
      <c r="I354" s="129"/>
      <c r="J354" s="14"/>
    </row>
    <row r="355" spans="1:10" ht="12.75">
      <c r="A355" s="16"/>
      <c r="B355" s="16"/>
      <c r="C355" s="11"/>
      <c r="D355" s="11"/>
      <c r="E355" s="11"/>
      <c r="F355" s="11"/>
      <c r="G355" s="11"/>
      <c r="H355" s="11"/>
      <c r="I355" s="129"/>
      <c r="J355" s="16"/>
    </row>
    <row r="356" spans="1:11" ht="12.75">
      <c r="A356" s="123"/>
      <c r="B356" s="120"/>
      <c r="C356" s="283" t="s">
        <v>248</v>
      </c>
      <c r="D356" s="284"/>
      <c r="E356" s="284"/>
      <c r="F356" s="285"/>
      <c r="G356" s="283" t="s">
        <v>237</v>
      </c>
      <c r="H356" s="285"/>
      <c r="I356" s="129"/>
      <c r="J356" s="120"/>
      <c r="K356" s="120"/>
    </row>
    <row r="357" spans="1:11" ht="12.75">
      <c r="A357" s="2"/>
      <c r="B357" s="2"/>
      <c r="C357" s="7" t="s">
        <v>233</v>
      </c>
      <c r="D357" s="5" t="s">
        <v>233</v>
      </c>
      <c r="E357" s="120"/>
      <c r="F357" s="7"/>
      <c r="G357" s="8"/>
      <c r="H357" s="8"/>
      <c r="I357" s="129"/>
      <c r="J357" s="8"/>
      <c r="K357" s="8"/>
    </row>
    <row r="358" spans="1:11" ht="12.75">
      <c r="A358" s="2"/>
      <c r="B358" s="2"/>
      <c r="C358" s="8" t="s">
        <v>234</v>
      </c>
      <c r="D358" s="5" t="s">
        <v>234</v>
      </c>
      <c r="E358" s="98"/>
      <c r="F358" s="8"/>
      <c r="G358" s="8"/>
      <c r="H358" s="8"/>
      <c r="I358" s="129"/>
      <c r="J358" s="8" t="s">
        <v>225</v>
      </c>
      <c r="K358" s="8"/>
    </row>
    <row r="359" spans="1:11" ht="12.75">
      <c r="A359" s="2"/>
      <c r="B359" s="2"/>
      <c r="C359" s="8" t="s">
        <v>231</v>
      </c>
      <c r="D359" s="5" t="s">
        <v>231</v>
      </c>
      <c r="E359" s="8" t="s">
        <v>233</v>
      </c>
      <c r="F359" s="8" t="s">
        <v>233</v>
      </c>
      <c r="G359" s="8" t="s">
        <v>233</v>
      </c>
      <c r="H359" s="8" t="s">
        <v>233</v>
      </c>
      <c r="I359" s="129"/>
      <c r="J359" s="8" t="s">
        <v>48</v>
      </c>
      <c r="K359" s="8" t="s">
        <v>198</v>
      </c>
    </row>
    <row r="360" spans="1:11" ht="12.75">
      <c r="A360" s="2"/>
      <c r="B360" s="2"/>
      <c r="C360" s="8" t="s">
        <v>227</v>
      </c>
      <c r="D360" s="5" t="s">
        <v>232</v>
      </c>
      <c r="E360" s="8" t="s">
        <v>235</v>
      </c>
      <c r="F360" s="8" t="s">
        <v>236</v>
      </c>
      <c r="G360" s="8" t="s">
        <v>235</v>
      </c>
      <c r="H360" s="8" t="s">
        <v>236</v>
      </c>
      <c r="I360" s="129"/>
      <c r="J360" s="8" t="s">
        <v>223</v>
      </c>
      <c r="K360" s="8" t="s">
        <v>205</v>
      </c>
    </row>
    <row r="361" spans="1:11" ht="14.25">
      <c r="A361" s="4"/>
      <c r="B361" s="17" t="s">
        <v>159</v>
      </c>
      <c r="C361" s="9" t="s">
        <v>226</v>
      </c>
      <c r="D361" s="17" t="s">
        <v>226</v>
      </c>
      <c r="E361" s="9" t="s">
        <v>62</v>
      </c>
      <c r="F361" s="9" t="s">
        <v>48</v>
      </c>
      <c r="G361" s="9" t="s">
        <v>62</v>
      </c>
      <c r="H361" s="9" t="s">
        <v>48</v>
      </c>
      <c r="I361" s="129"/>
      <c r="J361" s="9" t="s">
        <v>224</v>
      </c>
      <c r="K361" s="83" t="s">
        <v>259</v>
      </c>
    </row>
    <row r="362" spans="1:11" ht="12.75">
      <c r="A362" s="2" t="s">
        <v>0</v>
      </c>
      <c r="B362" s="124">
        <f>C362+D362+E362+F362+G362+H362</f>
        <v>3</v>
      </c>
      <c r="C362" s="134">
        <v>0</v>
      </c>
      <c r="D362" s="47">
        <v>0</v>
      </c>
      <c r="E362" s="47">
        <v>0</v>
      </c>
      <c r="F362" s="47">
        <v>0</v>
      </c>
      <c r="G362" s="47">
        <v>2</v>
      </c>
      <c r="H362" s="47">
        <v>1</v>
      </c>
      <c r="I362" s="39"/>
      <c r="J362" s="89">
        <f>K362-B362</f>
        <v>15</v>
      </c>
      <c r="K362" s="99">
        <v>18</v>
      </c>
    </row>
    <row r="363" spans="1:11" ht="12.75">
      <c r="A363" s="2" t="s">
        <v>1</v>
      </c>
      <c r="B363" s="124">
        <f aca="true" t="shared" si="28" ref="B363:B381">C363+D363+E363+F363+G363+H363</f>
        <v>1</v>
      </c>
      <c r="C363" s="134">
        <v>0</v>
      </c>
      <c r="D363" s="47">
        <v>0</v>
      </c>
      <c r="E363" s="47">
        <v>0</v>
      </c>
      <c r="F363" s="47">
        <v>1</v>
      </c>
      <c r="G363" s="47">
        <v>0</v>
      </c>
      <c r="H363" s="47">
        <v>0</v>
      </c>
      <c r="I363" s="39"/>
      <c r="J363" s="89">
        <f aca="true" t="shared" si="29" ref="J363:J380">K363-B363</f>
        <v>21</v>
      </c>
      <c r="K363" s="99">
        <v>22</v>
      </c>
    </row>
    <row r="364" spans="1:11" ht="12.75">
      <c r="A364" s="2" t="s">
        <v>2</v>
      </c>
      <c r="B364" s="124">
        <f t="shared" si="28"/>
        <v>0</v>
      </c>
      <c r="C364" s="134">
        <v>0</v>
      </c>
      <c r="D364" s="47">
        <v>0</v>
      </c>
      <c r="E364" s="47">
        <v>0</v>
      </c>
      <c r="F364" s="47">
        <v>0</v>
      </c>
      <c r="G364" s="47">
        <v>0</v>
      </c>
      <c r="H364" s="47">
        <v>0</v>
      </c>
      <c r="I364" s="39"/>
      <c r="J364" s="89">
        <f t="shared" si="29"/>
        <v>1</v>
      </c>
      <c r="K364" s="99">
        <v>1</v>
      </c>
    </row>
    <row r="365" spans="1:11" ht="12.75">
      <c r="A365" s="2" t="s">
        <v>3</v>
      </c>
      <c r="B365" s="124">
        <f t="shared" si="28"/>
        <v>9</v>
      </c>
      <c r="C365" s="134">
        <v>0</v>
      </c>
      <c r="D365" s="47">
        <v>1</v>
      </c>
      <c r="E365" s="47">
        <v>1</v>
      </c>
      <c r="F365" s="47">
        <v>0</v>
      </c>
      <c r="G365" s="47">
        <v>2</v>
      </c>
      <c r="H365" s="47">
        <v>5</v>
      </c>
      <c r="I365" s="39"/>
      <c r="J365" s="89">
        <f t="shared" si="29"/>
        <v>13</v>
      </c>
      <c r="K365" s="99">
        <v>22</v>
      </c>
    </row>
    <row r="366" spans="1:11" ht="12.75">
      <c r="A366" s="2" t="s">
        <v>4</v>
      </c>
      <c r="B366" s="124">
        <f t="shared" si="28"/>
        <v>3</v>
      </c>
      <c r="C366" s="134">
        <v>0</v>
      </c>
      <c r="D366" s="47">
        <v>0</v>
      </c>
      <c r="E366" s="47">
        <v>0</v>
      </c>
      <c r="F366" s="47">
        <v>2</v>
      </c>
      <c r="G366" s="47">
        <v>0</v>
      </c>
      <c r="H366" s="47">
        <v>1</v>
      </c>
      <c r="I366" s="39"/>
      <c r="J366" s="89">
        <f t="shared" si="29"/>
        <v>23</v>
      </c>
      <c r="K366" s="99">
        <v>26</v>
      </c>
    </row>
    <row r="367" spans="1:11" ht="14.25">
      <c r="A367" s="2" t="s">
        <v>230</v>
      </c>
      <c r="B367" s="124">
        <f t="shared" si="28"/>
        <v>5</v>
      </c>
      <c r="C367" s="134">
        <v>0</v>
      </c>
      <c r="D367" s="47">
        <v>0</v>
      </c>
      <c r="E367" s="47">
        <v>0</v>
      </c>
      <c r="F367" s="47">
        <v>0</v>
      </c>
      <c r="G367" s="47">
        <v>1</v>
      </c>
      <c r="H367" s="47">
        <v>4</v>
      </c>
      <c r="I367" s="39"/>
      <c r="J367" s="89">
        <f t="shared" si="29"/>
        <v>15</v>
      </c>
      <c r="K367" s="99">
        <v>20</v>
      </c>
    </row>
    <row r="368" spans="1:11" ht="12.75">
      <c r="A368" s="2" t="s">
        <v>6</v>
      </c>
      <c r="B368" s="124">
        <f t="shared" si="28"/>
        <v>1</v>
      </c>
      <c r="C368" s="134">
        <v>0</v>
      </c>
      <c r="D368" s="47">
        <v>0</v>
      </c>
      <c r="E368" s="47">
        <v>0</v>
      </c>
      <c r="F368" s="47">
        <v>0</v>
      </c>
      <c r="G368" s="47">
        <v>0</v>
      </c>
      <c r="H368" s="47">
        <v>1</v>
      </c>
      <c r="I368" s="39"/>
      <c r="J368" s="89">
        <f t="shared" si="29"/>
        <v>13</v>
      </c>
      <c r="K368" s="99">
        <v>14</v>
      </c>
    </row>
    <row r="369" spans="1:11" ht="12.75">
      <c r="A369" s="3" t="s">
        <v>7</v>
      </c>
      <c r="B369" s="124">
        <f t="shared" si="28"/>
        <v>2</v>
      </c>
      <c r="C369" s="134">
        <v>0</v>
      </c>
      <c r="D369" s="47">
        <v>0</v>
      </c>
      <c r="E369" s="47">
        <v>0</v>
      </c>
      <c r="F369" s="47">
        <v>0</v>
      </c>
      <c r="G369" s="47">
        <v>1</v>
      </c>
      <c r="H369" s="47">
        <v>1</v>
      </c>
      <c r="I369" s="39"/>
      <c r="J369" s="89">
        <f t="shared" si="29"/>
        <v>16</v>
      </c>
      <c r="K369" s="99">
        <v>18</v>
      </c>
    </row>
    <row r="370" spans="1:11" ht="12.75">
      <c r="A370" s="2" t="s">
        <v>8</v>
      </c>
      <c r="B370" s="124">
        <f t="shared" si="28"/>
        <v>1</v>
      </c>
      <c r="C370" s="134">
        <v>0</v>
      </c>
      <c r="D370" s="47">
        <v>0</v>
      </c>
      <c r="E370" s="47">
        <v>0</v>
      </c>
      <c r="F370" s="47">
        <v>1</v>
      </c>
      <c r="G370" s="47">
        <v>0</v>
      </c>
      <c r="H370" s="47">
        <v>0</v>
      </c>
      <c r="I370" s="39"/>
      <c r="J370" s="89">
        <f t="shared" si="29"/>
        <v>14</v>
      </c>
      <c r="K370" s="99">
        <v>15</v>
      </c>
    </row>
    <row r="371" spans="1:11" ht="12.75">
      <c r="A371" s="2" t="s">
        <v>9</v>
      </c>
      <c r="B371" s="124">
        <f t="shared" si="28"/>
        <v>2</v>
      </c>
      <c r="C371" s="134">
        <v>0</v>
      </c>
      <c r="D371" s="47">
        <v>0</v>
      </c>
      <c r="E371" s="47">
        <v>0</v>
      </c>
      <c r="F371" s="47">
        <v>0</v>
      </c>
      <c r="G371" s="47">
        <v>1</v>
      </c>
      <c r="H371" s="47">
        <v>1</v>
      </c>
      <c r="I371" s="39"/>
      <c r="J371" s="89">
        <f t="shared" si="29"/>
        <v>13</v>
      </c>
      <c r="K371" s="99">
        <v>15</v>
      </c>
    </row>
    <row r="372" spans="1:11" ht="12.75">
      <c r="A372" s="2" t="s">
        <v>10</v>
      </c>
      <c r="B372" s="124">
        <f t="shared" si="28"/>
        <v>6</v>
      </c>
      <c r="C372" s="134">
        <v>0</v>
      </c>
      <c r="D372" s="47">
        <v>0</v>
      </c>
      <c r="E372" s="47">
        <v>0</v>
      </c>
      <c r="F372" s="47">
        <v>1</v>
      </c>
      <c r="G372" s="47">
        <v>4</v>
      </c>
      <c r="H372" s="47">
        <v>1</v>
      </c>
      <c r="I372" s="39"/>
      <c r="J372" s="89">
        <f t="shared" si="29"/>
        <v>20</v>
      </c>
      <c r="K372" s="99">
        <v>26</v>
      </c>
    </row>
    <row r="373" spans="1:11" ht="12.75">
      <c r="A373" s="3" t="s">
        <v>11</v>
      </c>
      <c r="B373" s="124">
        <f t="shared" si="28"/>
        <v>7</v>
      </c>
      <c r="C373" s="134">
        <v>0</v>
      </c>
      <c r="D373" s="47">
        <v>0</v>
      </c>
      <c r="E373" s="47">
        <v>0</v>
      </c>
      <c r="F373" s="47">
        <v>0</v>
      </c>
      <c r="G373" s="47">
        <v>4</v>
      </c>
      <c r="H373" s="47">
        <v>3</v>
      </c>
      <c r="I373" s="39"/>
      <c r="J373" s="89">
        <f t="shared" si="29"/>
        <v>26</v>
      </c>
      <c r="K373" s="99">
        <v>33</v>
      </c>
    </row>
    <row r="374" spans="1:11" ht="12.75">
      <c r="A374" s="2" t="s">
        <v>12</v>
      </c>
      <c r="B374" s="124">
        <f t="shared" si="28"/>
        <v>7</v>
      </c>
      <c r="C374" s="134">
        <v>0</v>
      </c>
      <c r="D374" s="47">
        <v>0</v>
      </c>
      <c r="E374" s="47">
        <v>0</v>
      </c>
      <c r="F374" s="47">
        <v>0</v>
      </c>
      <c r="G374" s="47">
        <v>3</v>
      </c>
      <c r="H374" s="47">
        <v>4</v>
      </c>
      <c r="I374" s="39"/>
      <c r="J374" s="89">
        <f t="shared" si="29"/>
        <v>19</v>
      </c>
      <c r="K374" s="99">
        <v>26</v>
      </c>
    </row>
    <row r="375" spans="1:11" ht="12.75">
      <c r="A375" s="2" t="s">
        <v>13</v>
      </c>
      <c r="B375" s="124">
        <f t="shared" si="28"/>
        <v>9</v>
      </c>
      <c r="C375" s="134">
        <v>0</v>
      </c>
      <c r="D375" s="47">
        <v>0</v>
      </c>
      <c r="E375" s="47">
        <v>0</v>
      </c>
      <c r="F375" s="47">
        <v>1</v>
      </c>
      <c r="G375" s="47">
        <v>2</v>
      </c>
      <c r="H375" s="47">
        <v>6</v>
      </c>
      <c r="I375" s="39"/>
      <c r="J375" s="89">
        <f t="shared" si="29"/>
        <v>28</v>
      </c>
      <c r="K375" s="99">
        <v>37</v>
      </c>
    </row>
    <row r="376" spans="1:11" ht="12.75">
      <c r="A376" s="2" t="s">
        <v>14</v>
      </c>
      <c r="B376" s="124">
        <f t="shared" si="28"/>
        <v>8</v>
      </c>
      <c r="C376" s="134">
        <v>0</v>
      </c>
      <c r="D376" s="47">
        <v>1</v>
      </c>
      <c r="E376" s="47">
        <v>0</v>
      </c>
      <c r="F376" s="47">
        <v>2</v>
      </c>
      <c r="G376" s="47">
        <v>2</v>
      </c>
      <c r="H376" s="47">
        <v>3</v>
      </c>
      <c r="I376" s="39"/>
      <c r="J376" s="89">
        <f t="shared" si="29"/>
        <v>17</v>
      </c>
      <c r="K376" s="99">
        <v>25</v>
      </c>
    </row>
    <row r="377" spans="1:11" ht="14.25">
      <c r="A377" s="3" t="s">
        <v>229</v>
      </c>
      <c r="B377" s="124">
        <f t="shared" si="28"/>
        <v>13</v>
      </c>
      <c r="C377" s="134">
        <v>0</v>
      </c>
      <c r="D377" s="47">
        <v>0</v>
      </c>
      <c r="E377" s="47">
        <v>2</v>
      </c>
      <c r="F377" s="47">
        <v>0</v>
      </c>
      <c r="G377" s="47">
        <v>7</v>
      </c>
      <c r="H377" s="47">
        <v>4</v>
      </c>
      <c r="I377" s="39"/>
      <c r="J377" s="89">
        <f t="shared" si="29"/>
        <v>10</v>
      </c>
      <c r="K377" s="99">
        <v>23</v>
      </c>
    </row>
    <row r="378" spans="1:11" ht="12.75">
      <c r="A378" s="2" t="s">
        <v>15</v>
      </c>
      <c r="B378" s="124">
        <f t="shared" si="28"/>
        <v>15</v>
      </c>
      <c r="C378" s="134">
        <v>0</v>
      </c>
      <c r="D378" s="47">
        <v>1</v>
      </c>
      <c r="E378" s="47">
        <v>1</v>
      </c>
      <c r="F378" s="47">
        <v>0</v>
      </c>
      <c r="G378" s="47">
        <v>7</v>
      </c>
      <c r="H378" s="47">
        <v>6</v>
      </c>
      <c r="I378" s="39"/>
      <c r="J378" s="89">
        <f t="shared" si="29"/>
        <v>29</v>
      </c>
      <c r="K378" s="99">
        <v>44</v>
      </c>
    </row>
    <row r="379" spans="1:11" ht="12.75">
      <c r="A379" s="2" t="s">
        <v>16</v>
      </c>
      <c r="B379" s="124">
        <f t="shared" si="28"/>
        <v>9</v>
      </c>
      <c r="C379" s="134">
        <v>0</v>
      </c>
      <c r="D379" s="47">
        <v>2</v>
      </c>
      <c r="E379" s="47">
        <v>0</v>
      </c>
      <c r="F379" s="47">
        <v>0</v>
      </c>
      <c r="G379" s="47">
        <v>5</v>
      </c>
      <c r="H379" s="47">
        <v>2</v>
      </c>
      <c r="I379" s="39"/>
      <c r="J379" s="89">
        <f t="shared" si="29"/>
        <v>16</v>
      </c>
      <c r="K379" s="99">
        <v>25</v>
      </c>
    </row>
    <row r="380" spans="1:11" ht="12.75">
      <c r="A380" s="2" t="s">
        <v>17</v>
      </c>
      <c r="B380" s="124">
        <f t="shared" si="28"/>
        <v>9</v>
      </c>
      <c r="C380" s="134">
        <v>0</v>
      </c>
      <c r="D380" s="47">
        <v>0</v>
      </c>
      <c r="E380" s="47">
        <v>0</v>
      </c>
      <c r="F380" s="47">
        <v>0</v>
      </c>
      <c r="G380" s="47">
        <v>9</v>
      </c>
      <c r="H380" s="47">
        <v>0</v>
      </c>
      <c r="I380" s="39"/>
      <c r="J380" s="89">
        <f t="shared" si="29"/>
        <v>10</v>
      </c>
      <c r="K380" s="99">
        <v>19</v>
      </c>
    </row>
    <row r="381" spans="1:11" ht="12.75">
      <c r="A381" s="6" t="s">
        <v>23</v>
      </c>
      <c r="B381" s="122">
        <f t="shared" si="28"/>
        <v>110</v>
      </c>
      <c r="C381" s="121">
        <f aca="true" t="shared" si="30" ref="C381:H381">SUM(C362:C380)</f>
        <v>0</v>
      </c>
      <c r="D381" s="119">
        <f t="shared" si="30"/>
        <v>5</v>
      </c>
      <c r="E381" s="119">
        <f t="shared" si="30"/>
        <v>4</v>
      </c>
      <c r="F381" s="119">
        <f t="shared" si="30"/>
        <v>8</v>
      </c>
      <c r="G381" s="119">
        <f t="shared" si="30"/>
        <v>50</v>
      </c>
      <c r="H381" s="119">
        <f t="shared" si="30"/>
        <v>43</v>
      </c>
      <c r="I381" s="39"/>
      <c r="J381" s="119">
        <f>SUM(J362:J380)</f>
        <v>319</v>
      </c>
      <c r="K381" s="122">
        <f>SUM(K362:K380)</f>
        <v>429</v>
      </c>
    </row>
    <row r="382" spans="1:2" ht="12.75">
      <c r="A382" s="19" t="s">
        <v>238</v>
      </c>
      <c r="B382" s="20"/>
    </row>
    <row r="383" spans="1:2" ht="12.75">
      <c r="A383" s="19" t="s">
        <v>239</v>
      </c>
      <c r="B383" s="20"/>
    </row>
    <row r="386" spans="1:10" ht="12.75">
      <c r="A386" s="14" t="s">
        <v>290</v>
      </c>
      <c r="B386" s="14"/>
      <c r="C386" s="11"/>
      <c r="D386" s="11"/>
      <c r="E386" s="11"/>
      <c r="F386" s="11"/>
      <c r="G386" s="11"/>
      <c r="H386" s="11"/>
      <c r="I386" s="129"/>
      <c r="J386" s="14"/>
    </row>
    <row r="387" spans="1:10" ht="12.75">
      <c r="A387" s="16"/>
      <c r="B387" s="16"/>
      <c r="C387" s="11"/>
      <c r="D387" s="11"/>
      <c r="E387" s="11"/>
      <c r="F387" s="11"/>
      <c r="G387" s="11"/>
      <c r="H387" s="11"/>
      <c r="I387" s="129"/>
      <c r="J387" s="16"/>
    </row>
    <row r="388" spans="1:11" ht="12.75">
      <c r="A388" s="123"/>
      <c r="B388" s="120"/>
      <c r="C388" s="283" t="s">
        <v>248</v>
      </c>
      <c r="D388" s="284"/>
      <c r="E388" s="284"/>
      <c r="F388" s="285"/>
      <c r="G388" s="283" t="s">
        <v>237</v>
      </c>
      <c r="H388" s="285"/>
      <c r="I388" s="129"/>
      <c r="J388" s="120"/>
      <c r="K388" s="120"/>
    </row>
    <row r="389" spans="1:11" ht="12.75">
      <c r="A389" s="2"/>
      <c r="B389" s="2"/>
      <c r="C389" s="7" t="s">
        <v>233</v>
      </c>
      <c r="D389" s="5" t="s">
        <v>233</v>
      </c>
      <c r="E389" s="120"/>
      <c r="F389" s="7"/>
      <c r="G389" s="8"/>
      <c r="H389" s="8"/>
      <c r="I389" s="129"/>
      <c r="J389" s="8"/>
      <c r="K389" s="8"/>
    </row>
    <row r="390" spans="1:11" ht="12.75">
      <c r="A390" s="2"/>
      <c r="B390" s="2"/>
      <c r="C390" s="8" t="s">
        <v>234</v>
      </c>
      <c r="D390" s="5" t="s">
        <v>234</v>
      </c>
      <c r="E390" s="98"/>
      <c r="F390" s="8"/>
      <c r="G390" s="8"/>
      <c r="H390" s="8"/>
      <c r="I390" s="129"/>
      <c r="J390" s="8" t="s">
        <v>225</v>
      </c>
      <c r="K390" s="8"/>
    </row>
    <row r="391" spans="1:11" ht="12.75">
      <c r="A391" s="2"/>
      <c r="B391" s="2"/>
      <c r="C391" s="8" t="s">
        <v>231</v>
      </c>
      <c r="D391" s="5" t="s">
        <v>231</v>
      </c>
      <c r="E391" s="8" t="s">
        <v>233</v>
      </c>
      <c r="F391" s="8" t="s">
        <v>233</v>
      </c>
      <c r="G391" s="8" t="s">
        <v>233</v>
      </c>
      <c r="H391" s="8" t="s">
        <v>233</v>
      </c>
      <c r="I391" s="129"/>
      <c r="J391" s="8" t="s">
        <v>48</v>
      </c>
      <c r="K391" s="8" t="s">
        <v>198</v>
      </c>
    </row>
    <row r="392" spans="1:11" ht="12.75">
      <c r="A392" s="2"/>
      <c r="B392" s="2"/>
      <c r="C392" s="8" t="s">
        <v>227</v>
      </c>
      <c r="D392" s="5" t="s">
        <v>232</v>
      </c>
      <c r="E392" s="8" t="s">
        <v>235</v>
      </c>
      <c r="F392" s="8" t="s">
        <v>236</v>
      </c>
      <c r="G392" s="8" t="s">
        <v>235</v>
      </c>
      <c r="H392" s="8" t="s">
        <v>236</v>
      </c>
      <c r="I392" s="129"/>
      <c r="J392" s="8" t="s">
        <v>223</v>
      </c>
      <c r="K392" s="8" t="s">
        <v>205</v>
      </c>
    </row>
    <row r="393" spans="1:11" ht="14.25">
      <c r="A393" s="4"/>
      <c r="B393" s="17" t="s">
        <v>159</v>
      </c>
      <c r="C393" s="9" t="s">
        <v>226</v>
      </c>
      <c r="D393" s="17" t="s">
        <v>226</v>
      </c>
      <c r="E393" s="9" t="s">
        <v>62</v>
      </c>
      <c r="F393" s="9" t="s">
        <v>48</v>
      </c>
      <c r="G393" s="9" t="s">
        <v>62</v>
      </c>
      <c r="H393" s="9" t="s">
        <v>48</v>
      </c>
      <c r="I393" s="129"/>
      <c r="J393" s="9" t="s">
        <v>224</v>
      </c>
      <c r="K393" s="83" t="s">
        <v>259</v>
      </c>
    </row>
    <row r="394" spans="1:12" ht="12.75">
      <c r="A394" s="2" t="s">
        <v>0</v>
      </c>
      <c r="B394" s="124">
        <f>C394+D394+E394+F394+G394+H394</f>
        <v>5</v>
      </c>
      <c r="C394" s="134">
        <v>0</v>
      </c>
      <c r="D394" s="47">
        <v>0</v>
      </c>
      <c r="E394" s="47">
        <v>0</v>
      </c>
      <c r="F394" s="47">
        <v>1</v>
      </c>
      <c r="G394" s="47">
        <v>2</v>
      </c>
      <c r="H394" s="47">
        <v>2</v>
      </c>
      <c r="I394" s="39"/>
      <c r="J394" s="89">
        <f>K394-B394</f>
        <v>13</v>
      </c>
      <c r="K394" s="99">
        <v>18</v>
      </c>
      <c r="L394" s="75"/>
    </row>
    <row r="395" spans="1:12" ht="12.75">
      <c r="A395" s="2" t="s">
        <v>1</v>
      </c>
      <c r="B395" s="124">
        <f aca="true" t="shared" si="31" ref="B395:B413">C395+D395+E395+F395+G395+H395</f>
        <v>1</v>
      </c>
      <c r="C395" s="134">
        <v>0</v>
      </c>
      <c r="D395" s="47">
        <v>0</v>
      </c>
      <c r="E395" s="47">
        <v>0</v>
      </c>
      <c r="F395" s="47">
        <v>0</v>
      </c>
      <c r="G395" s="47">
        <v>0</v>
      </c>
      <c r="H395" s="47">
        <v>1</v>
      </c>
      <c r="I395" s="39"/>
      <c r="J395" s="89">
        <f aca="true" t="shared" si="32" ref="J395:J412">K395-B395</f>
        <v>21</v>
      </c>
      <c r="K395" s="99">
        <v>22</v>
      </c>
      <c r="L395" s="75"/>
    </row>
    <row r="396" spans="1:12" ht="12.75">
      <c r="A396" s="2" t="s">
        <v>2</v>
      </c>
      <c r="B396" s="124">
        <f t="shared" si="31"/>
        <v>0</v>
      </c>
      <c r="C396" s="134">
        <v>0</v>
      </c>
      <c r="D396" s="47">
        <v>0</v>
      </c>
      <c r="E396" s="47">
        <v>0</v>
      </c>
      <c r="F396" s="47">
        <v>0</v>
      </c>
      <c r="G396" s="47">
        <v>0</v>
      </c>
      <c r="H396" s="47">
        <v>0</v>
      </c>
      <c r="I396" s="39"/>
      <c r="J396" s="89">
        <f t="shared" si="32"/>
        <v>1</v>
      </c>
      <c r="K396" s="99">
        <v>1</v>
      </c>
      <c r="L396" s="75"/>
    </row>
    <row r="397" spans="1:12" ht="12.75">
      <c r="A397" s="2" t="s">
        <v>3</v>
      </c>
      <c r="B397" s="124">
        <f t="shared" si="31"/>
        <v>8</v>
      </c>
      <c r="C397" s="134">
        <v>0</v>
      </c>
      <c r="D397" s="47">
        <v>2</v>
      </c>
      <c r="E397" s="47">
        <v>0</v>
      </c>
      <c r="F397" s="47">
        <v>1</v>
      </c>
      <c r="G397" s="47">
        <v>2</v>
      </c>
      <c r="H397" s="47">
        <v>3</v>
      </c>
      <c r="I397" s="39"/>
      <c r="J397" s="89">
        <f t="shared" si="32"/>
        <v>14</v>
      </c>
      <c r="K397" s="99">
        <v>22</v>
      </c>
      <c r="L397" s="75"/>
    </row>
    <row r="398" spans="1:12" ht="12.75">
      <c r="A398" s="2" t="s">
        <v>4</v>
      </c>
      <c r="B398" s="124">
        <f t="shared" si="31"/>
        <v>5</v>
      </c>
      <c r="C398" s="134">
        <v>0</v>
      </c>
      <c r="D398" s="47">
        <v>0</v>
      </c>
      <c r="E398" s="47">
        <v>0</v>
      </c>
      <c r="F398" s="47">
        <v>3</v>
      </c>
      <c r="G398" s="47">
        <v>0</v>
      </c>
      <c r="H398" s="47">
        <v>2</v>
      </c>
      <c r="I398" s="39"/>
      <c r="J398" s="89">
        <f t="shared" si="32"/>
        <v>21</v>
      </c>
      <c r="K398" s="99">
        <v>26</v>
      </c>
      <c r="L398" s="75"/>
    </row>
    <row r="399" spans="1:12" ht="14.25">
      <c r="A399" s="2" t="s">
        <v>230</v>
      </c>
      <c r="B399" s="124">
        <f t="shared" si="31"/>
        <v>4</v>
      </c>
      <c r="C399" s="134">
        <v>0</v>
      </c>
      <c r="D399" s="47">
        <v>0</v>
      </c>
      <c r="E399" s="47">
        <v>0</v>
      </c>
      <c r="F399" s="47">
        <v>0</v>
      </c>
      <c r="G399" s="47">
        <v>1</v>
      </c>
      <c r="H399" s="47">
        <v>3</v>
      </c>
      <c r="I399" s="39"/>
      <c r="J399" s="89">
        <f t="shared" si="32"/>
        <v>16</v>
      </c>
      <c r="K399" s="99">
        <v>20</v>
      </c>
      <c r="L399" s="75"/>
    </row>
    <row r="400" spans="1:12" ht="12.75">
      <c r="A400" s="2" t="s">
        <v>6</v>
      </c>
      <c r="B400" s="124">
        <f t="shared" si="31"/>
        <v>1</v>
      </c>
      <c r="C400" s="134">
        <v>0</v>
      </c>
      <c r="D400" s="47">
        <v>0</v>
      </c>
      <c r="E400" s="47">
        <v>0</v>
      </c>
      <c r="F400" s="47">
        <v>0</v>
      </c>
      <c r="G400" s="47">
        <v>0</v>
      </c>
      <c r="H400" s="47">
        <v>1</v>
      </c>
      <c r="I400" s="39"/>
      <c r="J400" s="89">
        <f t="shared" si="32"/>
        <v>13</v>
      </c>
      <c r="K400" s="99">
        <v>14</v>
      </c>
      <c r="L400" s="75"/>
    </row>
    <row r="401" spans="1:13" s="16" customFormat="1" ht="12.75">
      <c r="A401" s="3" t="s">
        <v>7</v>
      </c>
      <c r="B401" s="124">
        <f t="shared" si="31"/>
        <v>2</v>
      </c>
      <c r="C401" s="134">
        <v>0</v>
      </c>
      <c r="D401" s="47">
        <v>0</v>
      </c>
      <c r="E401" s="47">
        <v>1</v>
      </c>
      <c r="F401" s="47">
        <v>0</v>
      </c>
      <c r="G401" s="47">
        <v>0</v>
      </c>
      <c r="H401" s="47">
        <v>1</v>
      </c>
      <c r="I401" s="39"/>
      <c r="J401" s="89">
        <f t="shared" si="32"/>
        <v>16</v>
      </c>
      <c r="K401" s="99">
        <v>18</v>
      </c>
      <c r="L401" s="75"/>
      <c r="M401"/>
    </row>
    <row r="402" spans="1:13" s="16" customFormat="1" ht="12.75">
      <c r="A402" s="2" t="s">
        <v>8</v>
      </c>
      <c r="B402" s="124">
        <f t="shared" si="31"/>
        <v>1</v>
      </c>
      <c r="C402" s="134">
        <v>0</v>
      </c>
      <c r="D402" s="47">
        <v>0</v>
      </c>
      <c r="E402" s="47">
        <v>0</v>
      </c>
      <c r="F402" s="47">
        <v>0</v>
      </c>
      <c r="G402" s="47">
        <v>0</v>
      </c>
      <c r="H402" s="47">
        <v>1</v>
      </c>
      <c r="I402" s="39"/>
      <c r="J402" s="89">
        <f t="shared" si="32"/>
        <v>14</v>
      </c>
      <c r="K402" s="99">
        <v>15</v>
      </c>
      <c r="L402" s="75"/>
      <c r="M402"/>
    </row>
    <row r="403" spans="1:12" ht="12.75">
      <c r="A403" s="2" t="s">
        <v>9</v>
      </c>
      <c r="B403" s="124">
        <f t="shared" si="31"/>
        <v>3</v>
      </c>
      <c r="C403" s="134">
        <v>0</v>
      </c>
      <c r="D403" s="47">
        <v>0</v>
      </c>
      <c r="E403" s="47">
        <v>0</v>
      </c>
      <c r="F403" s="47">
        <v>0</v>
      </c>
      <c r="G403" s="47">
        <v>1</v>
      </c>
      <c r="H403" s="47">
        <v>2</v>
      </c>
      <c r="I403" s="39"/>
      <c r="J403" s="89">
        <f t="shared" si="32"/>
        <v>12</v>
      </c>
      <c r="K403" s="99">
        <v>15</v>
      </c>
      <c r="L403" s="75"/>
    </row>
    <row r="404" spans="1:12" ht="12.75">
      <c r="A404" s="2" t="s">
        <v>10</v>
      </c>
      <c r="B404" s="124">
        <f t="shared" si="31"/>
        <v>10</v>
      </c>
      <c r="C404" s="134">
        <v>0</v>
      </c>
      <c r="D404" s="47">
        <v>0</v>
      </c>
      <c r="E404" s="47">
        <v>0</v>
      </c>
      <c r="F404" s="47">
        <v>1</v>
      </c>
      <c r="G404" s="47">
        <v>4</v>
      </c>
      <c r="H404" s="47">
        <v>5</v>
      </c>
      <c r="I404" s="39"/>
      <c r="J404" s="89">
        <f t="shared" si="32"/>
        <v>16</v>
      </c>
      <c r="K404" s="99">
        <v>26</v>
      </c>
      <c r="L404" s="75"/>
    </row>
    <row r="405" spans="1:12" ht="12.75">
      <c r="A405" s="3" t="s">
        <v>11</v>
      </c>
      <c r="B405" s="124">
        <f t="shared" si="31"/>
        <v>9</v>
      </c>
      <c r="C405" s="134">
        <v>0</v>
      </c>
      <c r="D405" s="47">
        <v>0</v>
      </c>
      <c r="E405" s="47">
        <v>0</v>
      </c>
      <c r="F405" s="47">
        <v>1</v>
      </c>
      <c r="G405" s="47">
        <v>5</v>
      </c>
      <c r="H405" s="47">
        <v>3</v>
      </c>
      <c r="I405" s="39"/>
      <c r="J405" s="89">
        <f t="shared" si="32"/>
        <v>24</v>
      </c>
      <c r="K405" s="99">
        <v>33</v>
      </c>
      <c r="L405" s="75"/>
    </row>
    <row r="406" spans="1:12" ht="12.75">
      <c r="A406" s="2" t="s">
        <v>12</v>
      </c>
      <c r="B406" s="124">
        <f t="shared" si="31"/>
        <v>12</v>
      </c>
      <c r="C406" s="134">
        <v>0</v>
      </c>
      <c r="D406" s="47">
        <v>0</v>
      </c>
      <c r="E406" s="47">
        <v>0</v>
      </c>
      <c r="F406" s="47">
        <v>2</v>
      </c>
      <c r="G406" s="47">
        <v>4</v>
      </c>
      <c r="H406" s="47">
        <v>6</v>
      </c>
      <c r="I406" s="39"/>
      <c r="J406" s="89">
        <f t="shared" si="32"/>
        <v>14</v>
      </c>
      <c r="K406" s="99">
        <v>26</v>
      </c>
      <c r="L406" s="75"/>
    </row>
    <row r="407" spans="1:12" ht="12.75">
      <c r="A407" s="2" t="s">
        <v>13</v>
      </c>
      <c r="B407" s="124">
        <f t="shared" si="31"/>
        <v>8</v>
      </c>
      <c r="C407" s="134">
        <v>0</v>
      </c>
      <c r="D407" s="47">
        <v>0</v>
      </c>
      <c r="E407" s="47">
        <v>0</v>
      </c>
      <c r="F407" s="47">
        <v>2</v>
      </c>
      <c r="G407" s="47">
        <v>2</v>
      </c>
      <c r="H407" s="47">
        <v>4</v>
      </c>
      <c r="I407" s="39"/>
      <c r="J407" s="89">
        <f t="shared" si="32"/>
        <v>29</v>
      </c>
      <c r="K407" s="99">
        <v>37</v>
      </c>
      <c r="L407" s="75"/>
    </row>
    <row r="408" spans="1:12" ht="12.75">
      <c r="A408" s="2" t="s">
        <v>14</v>
      </c>
      <c r="B408" s="124">
        <f t="shared" si="31"/>
        <v>10</v>
      </c>
      <c r="C408" s="134">
        <v>0</v>
      </c>
      <c r="D408" s="47">
        <v>1</v>
      </c>
      <c r="E408" s="47">
        <v>0</v>
      </c>
      <c r="F408" s="47">
        <v>0</v>
      </c>
      <c r="G408" s="47">
        <v>4</v>
      </c>
      <c r="H408" s="47">
        <v>5</v>
      </c>
      <c r="I408" s="39"/>
      <c r="J408" s="89">
        <f t="shared" si="32"/>
        <v>15</v>
      </c>
      <c r="K408" s="99">
        <v>25</v>
      </c>
      <c r="L408" s="75"/>
    </row>
    <row r="409" spans="1:12" ht="14.25">
      <c r="A409" s="3" t="s">
        <v>229</v>
      </c>
      <c r="B409" s="124">
        <f t="shared" si="31"/>
        <v>12</v>
      </c>
      <c r="C409" s="134">
        <v>0</v>
      </c>
      <c r="D409" s="47">
        <v>0</v>
      </c>
      <c r="E409" s="47">
        <v>1</v>
      </c>
      <c r="F409" s="47">
        <v>1</v>
      </c>
      <c r="G409" s="47">
        <v>8</v>
      </c>
      <c r="H409" s="47">
        <v>2</v>
      </c>
      <c r="I409" s="39"/>
      <c r="J409" s="89">
        <f t="shared" si="32"/>
        <v>11</v>
      </c>
      <c r="K409" s="99">
        <v>23</v>
      </c>
      <c r="L409" s="75"/>
    </row>
    <row r="410" spans="1:12" ht="12.75">
      <c r="A410" s="2" t="s">
        <v>15</v>
      </c>
      <c r="B410" s="124">
        <f t="shared" si="31"/>
        <v>14</v>
      </c>
      <c r="C410" s="134">
        <v>0</v>
      </c>
      <c r="D410" s="47">
        <v>1</v>
      </c>
      <c r="E410" s="47">
        <v>1</v>
      </c>
      <c r="F410" s="47">
        <v>2</v>
      </c>
      <c r="G410" s="47">
        <v>6</v>
      </c>
      <c r="H410" s="47">
        <v>4</v>
      </c>
      <c r="I410" s="39"/>
      <c r="J410" s="89">
        <f t="shared" si="32"/>
        <v>30</v>
      </c>
      <c r="K410" s="99">
        <v>44</v>
      </c>
      <c r="L410" s="75"/>
    </row>
    <row r="411" spans="1:12" ht="12.75">
      <c r="A411" s="2" t="s">
        <v>16</v>
      </c>
      <c r="B411" s="124">
        <f t="shared" si="31"/>
        <v>13</v>
      </c>
      <c r="C411" s="134">
        <v>0</v>
      </c>
      <c r="D411" s="47">
        <v>2</v>
      </c>
      <c r="E411" s="47">
        <v>0</v>
      </c>
      <c r="F411" s="47">
        <v>1</v>
      </c>
      <c r="G411" s="47">
        <v>6</v>
      </c>
      <c r="H411" s="47">
        <v>4</v>
      </c>
      <c r="I411" s="39"/>
      <c r="J411" s="89">
        <f t="shared" si="32"/>
        <v>12</v>
      </c>
      <c r="K411" s="99">
        <v>25</v>
      </c>
      <c r="L411" s="75"/>
    </row>
    <row r="412" spans="1:12" ht="12.75">
      <c r="A412" s="2" t="s">
        <v>17</v>
      </c>
      <c r="B412" s="124">
        <f t="shared" si="31"/>
        <v>8</v>
      </c>
      <c r="C412" s="134">
        <v>0</v>
      </c>
      <c r="D412" s="47">
        <v>0</v>
      </c>
      <c r="E412" s="47">
        <v>2</v>
      </c>
      <c r="F412" s="47">
        <v>0</v>
      </c>
      <c r="G412" s="47">
        <v>5</v>
      </c>
      <c r="H412" s="47">
        <v>1</v>
      </c>
      <c r="I412" s="39"/>
      <c r="J412" s="89">
        <f t="shared" si="32"/>
        <v>11</v>
      </c>
      <c r="K412" s="99">
        <v>19</v>
      </c>
      <c r="L412" s="75"/>
    </row>
    <row r="413" spans="1:12" ht="12.75">
      <c r="A413" s="6" t="s">
        <v>23</v>
      </c>
      <c r="B413" s="122">
        <f t="shared" si="31"/>
        <v>126</v>
      </c>
      <c r="C413" s="121">
        <f aca="true" t="shared" si="33" ref="C413:H413">SUM(C394:C412)</f>
        <v>0</v>
      </c>
      <c r="D413" s="119">
        <f t="shared" si="33"/>
        <v>6</v>
      </c>
      <c r="E413" s="119">
        <f t="shared" si="33"/>
        <v>5</v>
      </c>
      <c r="F413" s="119">
        <f t="shared" si="33"/>
        <v>15</v>
      </c>
      <c r="G413" s="119">
        <f t="shared" si="33"/>
        <v>50</v>
      </c>
      <c r="H413" s="119">
        <f t="shared" si="33"/>
        <v>50</v>
      </c>
      <c r="I413" s="39"/>
      <c r="J413" s="119">
        <f>SUM(J394:J412)</f>
        <v>303</v>
      </c>
      <c r="K413" s="122">
        <f>SUM(K394:K412)</f>
        <v>429</v>
      </c>
      <c r="L413" s="30"/>
    </row>
    <row r="414" spans="1:2" ht="12.75">
      <c r="A414" s="19" t="s">
        <v>238</v>
      </c>
      <c r="B414" s="20"/>
    </row>
    <row r="415" spans="1:2" ht="12.75">
      <c r="A415" s="19" t="s">
        <v>239</v>
      </c>
      <c r="B415" s="20"/>
    </row>
    <row r="418" spans="1:10" ht="12.75">
      <c r="A418" s="14" t="s">
        <v>267</v>
      </c>
      <c r="B418" s="14"/>
      <c r="C418" s="11"/>
      <c r="D418" s="11"/>
      <c r="E418" s="11"/>
      <c r="F418" s="11"/>
      <c r="G418" s="11"/>
      <c r="H418" s="11"/>
      <c r="I418" s="129"/>
      <c r="J418" s="14"/>
    </row>
    <row r="419" spans="1:10" ht="12.75">
      <c r="A419" s="16"/>
      <c r="B419" s="16"/>
      <c r="C419" s="11"/>
      <c r="D419" s="11"/>
      <c r="E419" s="11"/>
      <c r="F419" s="11"/>
      <c r="G419" s="11"/>
      <c r="H419" s="11"/>
      <c r="I419" s="129"/>
      <c r="J419" s="16"/>
    </row>
    <row r="420" spans="1:11" ht="12.75">
      <c r="A420" s="123"/>
      <c r="B420" s="120"/>
      <c r="C420" s="283" t="s">
        <v>248</v>
      </c>
      <c r="D420" s="284"/>
      <c r="E420" s="284"/>
      <c r="F420" s="285"/>
      <c r="G420" s="283" t="s">
        <v>237</v>
      </c>
      <c r="H420" s="285"/>
      <c r="I420" s="129"/>
      <c r="J420" s="120"/>
      <c r="K420" s="120"/>
    </row>
    <row r="421" spans="1:11" ht="12.75">
      <c r="A421" s="2"/>
      <c r="B421" s="2"/>
      <c r="C421" s="7" t="s">
        <v>233</v>
      </c>
      <c r="D421" s="5" t="s">
        <v>233</v>
      </c>
      <c r="E421" s="120"/>
      <c r="F421" s="7"/>
      <c r="G421" s="8"/>
      <c r="H421" s="8"/>
      <c r="I421" s="129"/>
      <c r="J421" s="8"/>
      <c r="K421" s="8"/>
    </row>
    <row r="422" spans="1:11" ht="12.75">
      <c r="A422" s="2"/>
      <c r="B422" s="2"/>
      <c r="C422" s="8" t="s">
        <v>234</v>
      </c>
      <c r="D422" s="5" t="s">
        <v>234</v>
      </c>
      <c r="E422" s="98"/>
      <c r="F422" s="8"/>
      <c r="G422" s="8"/>
      <c r="H422" s="8"/>
      <c r="I422" s="129"/>
      <c r="J422" s="8" t="s">
        <v>225</v>
      </c>
      <c r="K422" s="8"/>
    </row>
    <row r="423" spans="1:11" ht="12.75">
      <c r="A423" s="2"/>
      <c r="B423" s="2"/>
      <c r="C423" s="8" t="s">
        <v>231</v>
      </c>
      <c r="D423" s="5" t="s">
        <v>231</v>
      </c>
      <c r="E423" s="8" t="s">
        <v>233</v>
      </c>
      <c r="F423" s="8" t="s">
        <v>233</v>
      </c>
      <c r="G423" s="8" t="s">
        <v>233</v>
      </c>
      <c r="H423" s="8" t="s">
        <v>233</v>
      </c>
      <c r="I423" s="129"/>
      <c r="J423" s="8" t="s">
        <v>48</v>
      </c>
      <c r="K423" s="8" t="s">
        <v>198</v>
      </c>
    </row>
    <row r="424" spans="1:11" ht="12.75">
      <c r="A424" s="2"/>
      <c r="B424" s="2"/>
      <c r="C424" s="8" t="s">
        <v>227</v>
      </c>
      <c r="D424" s="5" t="s">
        <v>232</v>
      </c>
      <c r="E424" s="8" t="s">
        <v>235</v>
      </c>
      <c r="F424" s="8" t="s">
        <v>236</v>
      </c>
      <c r="G424" s="8" t="s">
        <v>235</v>
      </c>
      <c r="H424" s="8" t="s">
        <v>236</v>
      </c>
      <c r="I424" s="129"/>
      <c r="J424" s="8" t="s">
        <v>223</v>
      </c>
      <c r="K424" s="8" t="s">
        <v>205</v>
      </c>
    </row>
    <row r="425" spans="1:11" ht="14.25">
      <c r="A425" s="4"/>
      <c r="B425" s="17" t="s">
        <v>159</v>
      </c>
      <c r="C425" s="9" t="s">
        <v>226</v>
      </c>
      <c r="D425" s="17" t="s">
        <v>226</v>
      </c>
      <c r="E425" s="9" t="s">
        <v>62</v>
      </c>
      <c r="F425" s="9" t="s">
        <v>48</v>
      </c>
      <c r="G425" s="9" t="s">
        <v>62</v>
      </c>
      <c r="H425" s="9" t="s">
        <v>48</v>
      </c>
      <c r="I425" s="129"/>
      <c r="J425" s="9" t="s">
        <v>224</v>
      </c>
      <c r="K425" s="83" t="s">
        <v>259</v>
      </c>
    </row>
    <row r="426" spans="1:12" ht="12.75">
      <c r="A426" s="2" t="s">
        <v>0</v>
      </c>
      <c r="B426" s="124">
        <f>C426+D426+E426+F426+G426+H426</f>
        <v>3</v>
      </c>
      <c r="C426" s="134">
        <v>0</v>
      </c>
      <c r="D426" s="47">
        <v>0</v>
      </c>
      <c r="E426" s="47">
        <v>0</v>
      </c>
      <c r="F426" s="47">
        <v>0</v>
      </c>
      <c r="G426" s="47">
        <v>2</v>
      </c>
      <c r="H426" s="47">
        <v>1</v>
      </c>
      <c r="I426" s="39"/>
      <c r="J426" s="89">
        <f>K426-B426</f>
        <v>15</v>
      </c>
      <c r="K426" s="99">
        <v>18</v>
      </c>
      <c r="L426" s="75"/>
    </row>
    <row r="427" spans="1:12" ht="12.75">
      <c r="A427" s="2" t="s">
        <v>1</v>
      </c>
      <c r="B427" s="124">
        <f aca="true" t="shared" si="34" ref="B427:B445">C427+D427+E427+F427+G427+H427</f>
        <v>0</v>
      </c>
      <c r="C427" s="134">
        <v>0</v>
      </c>
      <c r="D427" s="47">
        <v>0</v>
      </c>
      <c r="E427" s="47">
        <v>0</v>
      </c>
      <c r="F427" s="47">
        <v>0</v>
      </c>
      <c r="G427" s="47">
        <v>0</v>
      </c>
      <c r="H427" s="47">
        <v>0</v>
      </c>
      <c r="I427" s="39"/>
      <c r="J427" s="89">
        <f aca="true" t="shared" si="35" ref="J427:J444">K427-B427</f>
        <v>22</v>
      </c>
      <c r="K427" s="99">
        <v>22</v>
      </c>
      <c r="L427" s="75"/>
    </row>
    <row r="428" spans="1:12" ht="12.75">
      <c r="A428" s="2" t="s">
        <v>2</v>
      </c>
      <c r="B428" s="124">
        <f t="shared" si="34"/>
        <v>0</v>
      </c>
      <c r="C428" s="134">
        <v>0</v>
      </c>
      <c r="D428" s="47">
        <v>0</v>
      </c>
      <c r="E428" s="47">
        <v>0</v>
      </c>
      <c r="F428" s="47">
        <v>0</v>
      </c>
      <c r="G428" s="47">
        <v>0</v>
      </c>
      <c r="H428" s="47">
        <v>0</v>
      </c>
      <c r="I428" s="39"/>
      <c r="J428" s="89">
        <f t="shared" si="35"/>
        <v>1</v>
      </c>
      <c r="K428" s="99">
        <v>1</v>
      </c>
      <c r="L428" s="75"/>
    </row>
    <row r="429" spans="1:12" ht="12.75">
      <c r="A429" s="2" t="s">
        <v>3</v>
      </c>
      <c r="B429" s="124">
        <f t="shared" si="34"/>
        <v>7</v>
      </c>
      <c r="C429" s="134">
        <v>0</v>
      </c>
      <c r="D429" s="47">
        <v>2</v>
      </c>
      <c r="E429" s="47">
        <v>0</v>
      </c>
      <c r="F429" s="47">
        <v>1</v>
      </c>
      <c r="G429" s="47">
        <v>2</v>
      </c>
      <c r="H429" s="47">
        <v>2</v>
      </c>
      <c r="I429" s="39"/>
      <c r="J429" s="89">
        <f t="shared" si="35"/>
        <v>15</v>
      </c>
      <c r="K429" s="99">
        <v>22</v>
      </c>
      <c r="L429" s="75"/>
    </row>
    <row r="430" spans="1:12" ht="12.75">
      <c r="A430" s="2" t="s">
        <v>4</v>
      </c>
      <c r="B430" s="124">
        <f t="shared" si="34"/>
        <v>6</v>
      </c>
      <c r="C430" s="134">
        <v>0</v>
      </c>
      <c r="D430" s="47">
        <v>0</v>
      </c>
      <c r="E430" s="47">
        <v>0</v>
      </c>
      <c r="F430" s="47">
        <v>1</v>
      </c>
      <c r="G430" s="47">
        <v>1</v>
      </c>
      <c r="H430" s="47">
        <v>4</v>
      </c>
      <c r="I430" s="39"/>
      <c r="J430" s="89">
        <f t="shared" si="35"/>
        <v>20</v>
      </c>
      <c r="K430" s="99">
        <v>26</v>
      </c>
      <c r="L430" s="75"/>
    </row>
    <row r="431" spans="1:12" ht="14.25">
      <c r="A431" s="2" t="s">
        <v>230</v>
      </c>
      <c r="B431" s="124">
        <f t="shared" si="34"/>
        <v>4</v>
      </c>
      <c r="C431" s="134">
        <v>0</v>
      </c>
      <c r="D431" s="47">
        <v>0</v>
      </c>
      <c r="E431" s="47">
        <v>0</v>
      </c>
      <c r="F431" s="47">
        <v>0</v>
      </c>
      <c r="G431" s="47">
        <v>1</v>
      </c>
      <c r="H431" s="47">
        <v>3</v>
      </c>
      <c r="I431" s="39"/>
      <c r="J431" s="89">
        <f t="shared" si="35"/>
        <v>16</v>
      </c>
      <c r="K431" s="99">
        <v>20</v>
      </c>
      <c r="L431" s="75"/>
    </row>
    <row r="432" spans="1:12" ht="12.75">
      <c r="A432" s="2" t="s">
        <v>6</v>
      </c>
      <c r="B432" s="124">
        <f t="shared" si="34"/>
        <v>3</v>
      </c>
      <c r="C432" s="134">
        <v>0</v>
      </c>
      <c r="D432" s="47">
        <v>0</v>
      </c>
      <c r="E432" s="47">
        <v>0</v>
      </c>
      <c r="F432" s="47">
        <v>0</v>
      </c>
      <c r="G432" s="47">
        <v>0</v>
      </c>
      <c r="H432" s="47">
        <v>3</v>
      </c>
      <c r="I432" s="39"/>
      <c r="J432" s="89">
        <f t="shared" si="35"/>
        <v>11</v>
      </c>
      <c r="K432" s="99">
        <v>14</v>
      </c>
      <c r="L432" s="75"/>
    </row>
    <row r="433" spans="1:13" s="16" customFormat="1" ht="12.75">
      <c r="A433" s="3" t="s">
        <v>7</v>
      </c>
      <c r="B433" s="124">
        <f t="shared" si="34"/>
        <v>4</v>
      </c>
      <c r="C433" s="134">
        <v>0</v>
      </c>
      <c r="D433" s="47">
        <v>0</v>
      </c>
      <c r="E433" s="47">
        <v>0</v>
      </c>
      <c r="F433" s="47">
        <v>1</v>
      </c>
      <c r="G433" s="47">
        <v>1</v>
      </c>
      <c r="H433" s="47">
        <v>2</v>
      </c>
      <c r="I433" s="39"/>
      <c r="J433" s="89">
        <f t="shared" si="35"/>
        <v>14</v>
      </c>
      <c r="K433" s="99">
        <v>18</v>
      </c>
      <c r="L433" s="75"/>
      <c r="M433"/>
    </row>
    <row r="434" spans="1:13" s="16" customFormat="1" ht="12.75">
      <c r="A434" s="2" t="s">
        <v>8</v>
      </c>
      <c r="B434" s="124">
        <f t="shared" si="34"/>
        <v>2</v>
      </c>
      <c r="C434" s="134">
        <v>0</v>
      </c>
      <c r="D434" s="47">
        <v>0</v>
      </c>
      <c r="E434" s="47">
        <v>0</v>
      </c>
      <c r="F434" s="47">
        <v>0</v>
      </c>
      <c r="G434" s="47">
        <v>0</v>
      </c>
      <c r="H434" s="47">
        <v>2</v>
      </c>
      <c r="I434" s="39"/>
      <c r="J434" s="89">
        <f t="shared" si="35"/>
        <v>13</v>
      </c>
      <c r="K434" s="99">
        <v>15</v>
      </c>
      <c r="L434" s="75"/>
      <c r="M434"/>
    </row>
    <row r="435" spans="1:12" ht="12.75">
      <c r="A435" s="2" t="s">
        <v>9</v>
      </c>
      <c r="B435" s="124">
        <f t="shared" si="34"/>
        <v>4</v>
      </c>
      <c r="C435" s="134">
        <v>0</v>
      </c>
      <c r="D435" s="47">
        <v>0</v>
      </c>
      <c r="E435" s="47">
        <v>0</v>
      </c>
      <c r="F435" s="47">
        <v>0</v>
      </c>
      <c r="G435" s="47">
        <v>1</v>
      </c>
      <c r="H435" s="47">
        <v>3</v>
      </c>
      <c r="I435" s="39"/>
      <c r="J435" s="89">
        <f t="shared" si="35"/>
        <v>11</v>
      </c>
      <c r="K435" s="99">
        <v>15</v>
      </c>
      <c r="L435" s="75"/>
    </row>
    <row r="436" spans="1:12" ht="12.75">
      <c r="A436" s="2" t="s">
        <v>10</v>
      </c>
      <c r="B436" s="124">
        <f t="shared" si="34"/>
        <v>9</v>
      </c>
      <c r="C436" s="134">
        <v>0</v>
      </c>
      <c r="D436" s="47">
        <v>0</v>
      </c>
      <c r="E436" s="47">
        <v>0</v>
      </c>
      <c r="F436" s="47">
        <v>0</v>
      </c>
      <c r="G436" s="47">
        <v>4</v>
      </c>
      <c r="H436" s="47">
        <v>5</v>
      </c>
      <c r="I436" s="39"/>
      <c r="J436" s="89">
        <f t="shared" si="35"/>
        <v>18</v>
      </c>
      <c r="K436" s="99">
        <v>27</v>
      </c>
      <c r="L436" s="75"/>
    </row>
    <row r="437" spans="1:12" ht="12.75">
      <c r="A437" s="3" t="s">
        <v>11</v>
      </c>
      <c r="B437" s="124">
        <f t="shared" si="34"/>
        <v>7</v>
      </c>
      <c r="C437" s="134">
        <v>0</v>
      </c>
      <c r="D437" s="47">
        <v>0</v>
      </c>
      <c r="E437" s="47">
        <v>0</v>
      </c>
      <c r="F437" s="47">
        <v>0</v>
      </c>
      <c r="G437" s="47">
        <v>4</v>
      </c>
      <c r="H437" s="47">
        <v>3</v>
      </c>
      <c r="I437" s="39"/>
      <c r="J437" s="89">
        <f t="shared" si="35"/>
        <v>26</v>
      </c>
      <c r="K437" s="99">
        <v>33</v>
      </c>
      <c r="L437" s="75"/>
    </row>
    <row r="438" spans="1:12" ht="12.75">
      <c r="A438" s="2" t="s">
        <v>12</v>
      </c>
      <c r="B438" s="124">
        <f t="shared" si="34"/>
        <v>11</v>
      </c>
      <c r="C438" s="134">
        <v>0</v>
      </c>
      <c r="D438" s="47">
        <v>0</v>
      </c>
      <c r="E438" s="47">
        <v>0</v>
      </c>
      <c r="F438" s="47">
        <v>2</v>
      </c>
      <c r="G438" s="47">
        <v>3</v>
      </c>
      <c r="H438" s="47">
        <v>6</v>
      </c>
      <c r="I438" s="39"/>
      <c r="J438" s="89">
        <f t="shared" si="35"/>
        <v>15</v>
      </c>
      <c r="K438" s="99">
        <v>26</v>
      </c>
      <c r="L438" s="75"/>
    </row>
    <row r="439" spans="1:12" ht="12.75">
      <c r="A439" s="2" t="s">
        <v>13</v>
      </c>
      <c r="B439" s="124">
        <f t="shared" si="34"/>
        <v>9</v>
      </c>
      <c r="C439" s="134">
        <v>0</v>
      </c>
      <c r="D439" s="47">
        <v>0</v>
      </c>
      <c r="E439" s="47">
        <v>0</v>
      </c>
      <c r="F439" s="47">
        <v>2</v>
      </c>
      <c r="G439" s="47">
        <v>2</v>
      </c>
      <c r="H439" s="47">
        <v>5</v>
      </c>
      <c r="I439" s="39"/>
      <c r="J439" s="89">
        <f t="shared" si="35"/>
        <v>29</v>
      </c>
      <c r="K439" s="99">
        <v>38</v>
      </c>
      <c r="L439" s="75"/>
    </row>
    <row r="440" spans="1:12" ht="12.75">
      <c r="A440" s="2" t="s">
        <v>14</v>
      </c>
      <c r="B440" s="124">
        <f t="shared" si="34"/>
        <v>7</v>
      </c>
      <c r="C440" s="134">
        <v>0</v>
      </c>
      <c r="D440" s="47">
        <v>1</v>
      </c>
      <c r="E440" s="47">
        <v>1</v>
      </c>
      <c r="F440" s="47">
        <v>1</v>
      </c>
      <c r="G440" s="47">
        <v>3</v>
      </c>
      <c r="H440" s="47">
        <v>1</v>
      </c>
      <c r="I440" s="39"/>
      <c r="J440" s="89">
        <f t="shared" si="35"/>
        <v>18</v>
      </c>
      <c r="K440" s="99">
        <v>25</v>
      </c>
      <c r="L440" s="75"/>
    </row>
    <row r="441" spans="1:12" ht="14.25">
      <c r="A441" s="3" t="s">
        <v>229</v>
      </c>
      <c r="B441" s="124">
        <f t="shared" si="34"/>
        <v>12</v>
      </c>
      <c r="C441" s="134">
        <v>0</v>
      </c>
      <c r="D441" s="47">
        <v>1</v>
      </c>
      <c r="E441" s="47">
        <v>2</v>
      </c>
      <c r="F441" s="47">
        <v>0</v>
      </c>
      <c r="G441" s="47">
        <v>5</v>
      </c>
      <c r="H441" s="47">
        <v>4</v>
      </c>
      <c r="I441" s="39"/>
      <c r="J441" s="89">
        <f t="shared" si="35"/>
        <v>11</v>
      </c>
      <c r="K441" s="99">
        <v>23</v>
      </c>
      <c r="L441" s="75"/>
    </row>
    <row r="442" spans="1:12" ht="12.75">
      <c r="A442" s="2" t="s">
        <v>15</v>
      </c>
      <c r="B442" s="124">
        <f t="shared" si="34"/>
        <v>13</v>
      </c>
      <c r="C442" s="134">
        <v>0</v>
      </c>
      <c r="D442" s="47">
        <v>1</v>
      </c>
      <c r="E442" s="47">
        <v>0</v>
      </c>
      <c r="F442" s="47">
        <v>1</v>
      </c>
      <c r="G442" s="47">
        <v>7</v>
      </c>
      <c r="H442" s="47">
        <v>4</v>
      </c>
      <c r="I442" s="39"/>
      <c r="J442" s="89">
        <f t="shared" si="35"/>
        <v>31</v>
      </c>
      <c r="K442" s="99">
        <v>44</v>
      </c>
      <c r="L442" s="75"/>
    </row>
    <row r="443" spans="1:12" ht="12.75">
      <c r="A443" s="2" t="s">
        <v>16</v>
      </c>
      <c r="B443" s="124">
        <f t="shared" si="34"/>
        <v>8</v>
      </c>
      <c r="C443" s="134">
        <v>0</v>
      </c>
      <c r="D443" s="47">
        <v>1</v>
      </c>
      <c r="E443" s="47">
        <v>0</v>
      </c>
      <c r="F443" s="47">
        <v>1</v>
      </c>
      <c r="G443" s="47">
        <v>6</v>
      </c>
      <c r="H443" s="47">
        <v>0</v>
      </c>
      <c r="I443" s="39"/>
      <c r="J443" s="89">
        <f t="shared" si="35"/>
        <v>17</v>
      </c>
      <c r="K443" s="99">
        <v>25</v>
      </c>
      <c r="L443" s="75"/>
    </row>
    <row r="444" spans="1:12" ht="12.75">
      <c r="A444" s="2" t="s">
        <v>17</v>
      </c>
      <c r="B444" s="124">
        <f t="shared" si="34"/>
        <v>10</v>
      </c>
      <c r="C444" s="134">
        <v>0</v>
      </c>
      <c r="D444" s="47">
        <v>0</v>
      </c>
      <c r="E444" s="47">
        <v>1</v>
      </c>
      <c r="F444" s="47">
        <v>2</v>
      </c>
      <c r="G444" s="47">
        <v>5</v>
      </c>
      <c r="H444" s="47">
        <v>2</v>
      </c>
      <c r="I444" s="39"/>
      <c r="J444" s="89">
        <f t="shared" si="35"/>
        <v>9</v>
      </c>
      <c r="K444" s="99">
        <v>19</v>
      </c>
      <c r="L444" s="75"/>
    </row>
    <row r="445" spans="1:12" ht="12.75">
      <c r="A445" s="6" t="s">
        <v>23</v>
      </c>
      <c r="B445" s="122">
        <f t="shared" si="34"/>
        <v>119</v>
      </c>
      <c r="C445" s="121">
        <f aca="true" t="shared" si="36" ref="C445:H445">SUM(C426:C444)</f>
        <v>0</v>
      </c>
      <c r="D445" s="119">
        <f t="shared" si="36"/>
        <v>6</v>
      </c>
      <c r="E445" s="119">
        <f t="shared" si="36"/>
        <v>4</v>
      </c>
      <c r="F445" s="119">
        <f t="shared" si="36"/>
        <v>12</v>
      </c>
      <c r="G445" s="119">
        <f t="shared" si="36"/>
        <v>47</v>
      </c>
      <c r="H445" s="119">
        <f t="shared" si="36"/>
        <v>50</v>
      </c>
      <c r="I445" s="39"/>
      <c r="J445" s="119">
        <f>SUM(J426:J444)</f>
        <v>312</v>
      </c>
      <c r="K445" s="122">
        <f>SUM(K426:K444)</f>
        <v>431</v>
      </c>
      <c r="L445" s="30"/>
    </row>
    <row r="446" spans="1:2" ht="12.75">
      <c r="A446" s="19" t="s">
        <v>238</v>
      </c>
      <c r="B446" s="20"/>
    </row>
    <row r="447" spans="1:2" ht="12.75">
      <c r="A447" s="19" t="s">
        <v>239</v>
      </c>
      <c r="B447" s="20"/>
    </row>
    <row r="450" spans="1:10" ht="12.75">
      <c r="A450" s="14" t="s">
        <v>265</v>
      </c>
      <c r="B450" s="14"/>
      <c r="C450" s="11"/>
      <c r="D450" s="11"/>
      <c r="E450" s="11"/>
      <c r="F450" s="11"/>
      <c r="G450" s="11"/>
      <c r="H450" s="11"/>
      <c r="I450" s="129"/>
      <c r="J450" s="14"/>
    </row>
    <row r="451" spans="1:10" ht="12.75">
      <c r="A451" s="16"/>
      <c r="B451" s="16"/>
      <c r="C451" s="11"/>
      <c r="D451" s="11"/>
      <c r="E451" s="11"/>
      <c r="F451" s="11"/>
      <c r="G451" s="11"/>
      <c r="H451" s="11"/>
      <c r="I451" s="129"/>
      <c r="J451" s="16"/>
    </row>
    <row r="452" spans="1:11" ht="12.75">
      <c r="A452" s="123"/>
      <c r="B452" s="120"/>
      <c r="C452" s="283" t="s">
        <v>248</v>
      </c>
      <c r="D452" s="284"/>
      <c r="E452" s="284"/>
      <c r="F452" s="285"/>
      <c r="G452" s="283" t="s">
        <v>237</v>
      </c>
      <c r="H452" s="285"/>
      <c r="I452" s="129"/>
      <c r="J452" s="120"/>
      <c r="K452" s="120"/>
    </row>
    <row r="453" spans="1:11" ht="12.75">
      <c r="A453" s="2"/>
      <c r="B453" s="2"/>
      <c r="C453" s="7" t="s">
        <v>233</v>
      </c>
      <c r="D453" s="5" t="s">
        <v>233</v>
      </c>
      <c r="E453" s="120"/>
      <c r="F453" s="7"/>
      <c r="G453" s="8"/>
      <c r="H453" s="8"/>
      <c r="I453" s="129"/>
      <c r="J453" s="8"/>
      <c r="K453" s="8"/>
    </row>
    <row r="454" spans="1:11" ht="12.75">
      <c r="A454" s="2"/>
      <c r="B454" s="2"/>
      <c r="C454" s="8" t="s">
        <v>234</v>
      </c>
      <c r="D454" s="5" t="s">
        <v>234</v>
      </c>
      <c r="E454" s="98"/>
      <c r="F454" s="8"/>
      <c r="G454" s="8"/>
      <c r="H454" s="8"/>
      <c r="I454" s="129"/>
      <c r="J454" s="8" t="s">
        <v>225</v>
      </c>
      <c r="K454" s="8"/>
    </row>
    <row r="455" spans="1:11" ht="12.75">
      <c r="A455" s="2"/>
      <c r="B455" s="2"/>
      <c r="C455" s="8" t="s">
        <v>231</v>
      </c>
      <c r="D455" s="5" t="s">
        <v>231</v>
      </c>
      <c r="E455" s="8" t="s">
        <v>233</v>
      </c>
      <c r="F455" s="8" t="s">
        <v>233</v>
      </c>
      <c r="G455" s="8" t="s">
        <v>233</v>
      </c>
      <c r="H455" s="8" t="s">
        <v>233</v>
      </c>
      <c r="I455" s="129"/>
      <c r="J455" s="8" t="s">
        <v>48</v>
      </c>
      <c r="K455" s="8" t="s">
        <v>198</v>
      </c>
    </row>
    <row r="456" spans="1:11" ht="12.75">
      <c r="A456" s="2"/>
      <c r="B456" s="2"/>
      <c r="C456" s="8" t="s">
        <v>227</v>
      </c>
      <c r="D456" s="5" t="s">
        <v>232</v>
      </c>
      <c r="E456" s="8" t="s">
        <v>235</v>
      </c>
      <c r="F456" s="8" t="s">
        <v>236</v>
      </c>
      <c r="G456" s="8" t="s">
        <v>235</v>
      </c>
      <c r="H456" s="8" t="s">
        <v>236</v>
      </c>
      <c r="I456" s="129"/>
      <c r="J456" s="8" t="s">
        <v>223</v>
      </c>
      <c r="K456" s="8" t="s">
        <v>205</v>
      </c>
    </row>
    <row r="457" spans="1:11" ht="14.25">
      <c r="A457" s="4"/>
      <c r="B457" s="17" t="s">
        <v>159</v>
      </c>
      <c r="C457" s="9" t="s">
        <v>226</v>
      </c>
      <c r="D457" s="17" t="s">
        <v>226</v>
      </c>
      <c r="E457" s="9" t="s">
        <v>62</v>
      </c>
      <c r="F457" s="9" t="s">
        <v>48</v>
      </c>
      <c r="G457" s="9" t="s">
        <v>62</v>
      </c>
      <c r="H457" s="9" t="s">
        <v>48</v>
      </c>
      <c r="I457" s="129"/>
      <c r="J457" s="9" t="s">
        <v>224</v>
      </c>
      <c r="K457" s="83" t="s">
        <v>259</v>
      </c>
    </row>
    <row r="458" spans="1:12" ht="12.75">
      <c r="A458" s="2" t="s">
        <v>0</v>
      </c>
      <c r="B458" s="124">
        <f>C458+D458+E458+F458+G458+H458</f>
        <v>3</v>
      </c>
      <c r="C458" s="134">
        <v>0</v>
      </c>
      <c r="D458" s="47">
        <v>0</v>
      </c>
      <c r="E458" s="47">
        <v>0</v>
      </c>
      <c r="F458" s="47">
        <v>0</v>
      </c>
      <c r="G458" s="47">
        <v>2</v>
      </c>
      <c r="H458" s="47">
        <v>1</v>
      </c>
      <c r="I458" s="39"/>
      <c r="J458" s="89">
        <f>K458-B458</f>
        <v>15</v>
      </c>
      <c r="K458" s="99">
        <v>18</v>
      </c>
      <c r="L458" s="75"/>
    </row>
    <row r="459" spans="1:12" ht="12.75">
      <c r="A459" s="2" t="s">
        <v>1</v>
      </c>
      <c r="B459" s="124">
        <f aca="true" t="shared" si="37" ref="B459:B477">C459+D459+E459+F459+G459+H459</f>
        <v>0</v>
      </c>
      <c r="C459" s="134">
        <v>0</v>
      </c>
      <c r="D459" s="47">
        <v>0</v>
      </c>
      <c r="E459" s="47">
        <v>0</v>
      </c>
      <c r="F459" s="47">
        <v>0</v>
      </c>
      <c r="G459" s="47">
        <v>0</v>
      </c>
      <c r="H459" s="47">
        <v>0</v>
      </c>
      <c r="I459" s="39"/>
      <c r="J459" s="89">
        <f aca="true" t="shared" si="38" ref="J459:J476">K459-B459</f>
        <v>22</v>
      </c>
      <c r="K459" s="99">
        <v>22</v>
      </c>
      <c r="L459" s="75"/>
    </row>
    <row r="460" spans="1:12" ht="12.75">
      <c r="A460" s="2" t="s">
        <v>2</v>
      </c>
      <c r="B460" s="124">
        <f t="shared" si="37"/>
        <v>0</v>
      </c>
      <c r="C460" s="134">
        <v>0</v>
      </c>
      <c r="D460" s="47">
        <v>0</v>
      </c>
      <c r="E460" s="47">
        <v>0</v>
      </c>
      <c r="F460" s="47">
        <v>0</v>
      </c>
      <c r="G460" s="47">
        <v>0</v>
      </c>
      <c r="H460" s="47">
        <v>0</v>
      </c>
      <c r="I460" s="39"/>
      <c r="J460" s="89">
        <f t="shared" si="38"/>
        <v>1</v>
      </c>
      <c r="K460" s="99">
        <v>1</v>
      </c>
      <c r="L460" s="75"/>
    </row>
    <row r="461" spans="1:12" ht="12.75">
      <c r="A461" s="2" t="s">
        <v>3</v>
      </c>
      <c r="B461" s="124">
        <f t="shared" si="37"/>
        <v>8</v>
      </c>
      <c r="C461" s="134">
        <v>0</v>
      </c>
      <c r="D461" s="47">
        <v>2</v>
      </c>
      <c r="E461" s="47">
        <v>0</v>
      </c>
      <c r="F461" s="47">
        <v>1</v>
      </c>
      <c r="G461" s="47">
        <v>2</v>
      </c>
      <c r="H461" s="47">
        <v>3</v>
      </c>
      <c r="I461" s="39"/>
      <c r="J461" s="89">
        <f t="shared" si="38"/>
        <v>14</v>
      </c>
      <c r="K461" s="99">
        <v>22</v>
      </c>
      <c r="L461" s="75"/>
    </row>
    <row r="462" spans="1:12" ht="12.75">
      <c r="A462" s="2" t="s">
        <v>4</v>
      </c>
      <c r="B462" s="124">
        <f t="shared" si="37"/>
        <v>3</v>
      </c>
      <c r="C462" s="134">
        <v>0</v>
      </c>
      <c r="D462" s="47">
        <v>0</v>
      </c>
      <c r="E462" s="47">
        <v>0</v>
      </c>
      <c r="F462" s="47">
        <v>0</v>
      </c>
      <c r="G462" s="47">
        <v>1</v>
      </c>
      <c r="H462" s="47">
        <v>2</v>
      </c>
      <c r="I462" s="39"/>
      <c r="J462" s="89">
        <f t="shared" si="38"/>
        <v>23</v>
      </c>
      <c r="K462" s="99">
        <v>26</v>
      </c>
      <c r="L462" s="75"/>
    </row>
    <row r="463" spans="1:12" ht="14.25">
      <c r="A463" s="2" t="s">
        <v>230</v>
      </c>
      <c r="B463" s="124">
        <f t="shared" si="37"/>
        <v>4</v>
      </c>
      <c r="C463" s="134">
        <v>0</v>
      </c>
      <c r="D463" s="47">
        <v>0</v>
      </c>
      <c r="E463" s="47">
        <v>0</v>
      </c>
      <c r="F463" s="47">
        <v>0</v>
      </c>
      <c r="G463" s="47">
        <v>1</v>
      </c>
      <c r="H463" s="47">
        <v>3</v>
      </c>
      <c r="I463" s="39"/>
      <c r="J463" s="89">
        <f t="shared" si="38"/>
        <v>16</v>
      </c>
      <c r="K463" s="99">
        <v>20</v>
      </c>
      <c r="L463" s="75"/>
    </row>
    <row r="464" spans="1:12" ht="12.75">
      <c r="A464" s="2" t="s">
        <v>6</v>
      </c>
      <c r="B464" s="124">
        <f t="shared" si="37"/>
        <v>2</v>
      </c>
      <c r="C464" s="134">
        <v>0</v>
      </c>
      <c r="D464" s="47">
        <v>0</v>
      </c>
      <c r="E464" s="47">
        <v>0</v>
      </c>
      <c r="F464" s="47">
        <v>0</v>
      </c>
      <c r="G464" s="47">
        <v>0</v>
      </c>
      <c r="H464" s="47">
        <v>2</v>
      </c>
      <c r="I464" s="39"/>
      <c r="J464" s="89">
        <f t="shared" si="38"/>
        <v>12</v>
      </c>
      <c r="K464" s="99">
        <v>14</v>
      </c>
      <c r="L464" s="75"/>
    </row>
    <row r="465" spans="1:13" s="16" customFormat="1" ht="12.75">
      <c r="A465" s="3" t="s">
        <v>7</v>
      </c>
      <c r="B465" s="124">
        <f t="shared" si="37"/>
        <v>3</v>
      </c>
      <c r="C465" s="134">
        <v>0</v>
      </c>
      <c r="D465" s="47">
        <v>0</v>
      </c>
      <c r="E465" s="47">
        <v>0</v>
      </c>
      <c r="F465" s="47">
        <v>1</v>
      </c>
      <c r="G465" s="47">
        <v>1</v>
      </c>
      <c r="H465" s="47">
        <v>1</v>
      </c>
      <c r="I465" s="39"/>
      <c r="J465" s="89">
        <f t="shared" si="38"/>
        <v>15</v>
      </c>
      <c r="K465" s="99">
        <v>18</v>
      </c>
      <c r="L465" s="75"/>
      <c r="M465"/>
    </row>
    <row r="466" spans="1:13" s="16" customFormat="1" ht="12.75">
      <c r="A466" s="2" t="s">
        <v>8</v>
      </c>
      <c r="B466" s="124">
        <f t="shared" si="37"/>
        <v>1</v>
      </c>
      <c r="C466" s="134">
        <v>0</v>
      </c>
      <c r="D466" s="47">
        <v>0</v>
      </c>
      <c r="E466" s="47">
        <v>0</v>
      </c>
      <c r="F466" s="47">
        <v>0</v>
      </c>
      <c r="G466" s="47">
        <v>0</v>
      </c>
      <c r="H466" s="47">
        <v>1</v>
      </c>
      <c r="I466" s="39"/>
      <c r="J466" s="89">
        <f t="shared" si="38"/>
        <v>14</v>
      </c>
      <c r="K466" s="99">
        <v>15</v>
      </c>
      <c r="L466" s="75"/>
      <c r="M466"/>
    </row>
    <row r="467" spans="1:12" ht="12.75">
      <c r="A467" s="2" t="s">
        <v>9</v>
      </c>
      <c r="B467" s="124">
        <f t="shared" si="37"/>
        <v>4</v>
      </c>
      <c r="C467" s="134">
        <v>0</v>
      </c>
      <c r="D467" s="47">
        <v>0</v>
      </c>
      <c r="E467" s="47">
        <v>0</v>
      </c>
      <c r="F467" s="47">
        <v>0</v>
      </c>
      <c r="G467" s="47">
        <v>1</v>
      </c>
      <c r="H467" s="47">
        <v>3</v>
      </c>
      <c r="I467" s="39"/>
      <c r="J467" s="89">
        <f t="shared" si="38"/>
        <v>11</v>
      </c>
      <c r="K467" s="99">
        <v>15</v>
      </c>
      <c r="L467" s="75"/>
    </row>
    <row r="468" spans="1:12" ht="12.75">
      <c r="A468" s="2" t="s">
        <v>10</v>
      </c>
      <c r="B468" s="124">
        <f t="shared" si="37"/>
        <v>8</v>
      </c>
      <c r="C468" s="134">
        <v>0</v>
      </c>
      <c r="D468" s="47">
        <v>0</v>
      </c>
      <c r="E468" s="47">
        <v>0</v>
      </c>
      <c r="F468" s="47">
        <v>1</v>
      </c>
      <c r="G468" s="47">
        <v>4</v>
      </c>
      <c r="H468" s="47">
        <v>3</v>
      </c>
      <c r="I468" s="39"/>
      <c r="J468" s="89">
        <f t="shared" si="38"/>
        <v>19</v>
      </c>
      <c r="K468" s="99">
        <v>27</v>
      </c>
      <c r="L468" s="75"/>
    </row>
    <row r="469" spans="1:12" ht="12.75">
      <c r="A469" s="3" t="s">
        <v>11</v>
      </c>
      <c r="B469" s="124">
        <f t="shared" si="37"/>
        <v>6</v>
      </c>
      <c r="C469" s="134">
        <v>0</v>
      </c>
      <c r="D469" s="47">
        <v>0</v>
      </c>
      <c r="E469" s="47">
        <v>0</v>
      </c>
      <c r="F469" s="47">
        <v>0</v>
      </c>
      <c r="G469" s="47">
        <v>4</v>
      </c>
      <c r="H469" s="47">
        <v>2</v>
      </c>
      <c r="I469" s="39"/>
      <c r="J469" s="89">
        <f t="shared" si="38"/>
        <v>27</v>
      </c>
      <c r="K469" s="99">
        <v>33</v>
      </c>
      <c r="L469" s="75"/>
    </row>
    <row r="470" spans="1:12" ht="12.75">
      <c r="A470" s="2" t="s">
        <v>12</v>
      </c>
      <c r="B470" s="124">
        <f t="shared" si="37"/>
        <v>14</v>
      </c>
      <c r="C470" s="134">
        <v>0</v>
      </c>
      <c r="D470" s="47">
        <v>0</v>
      </c>
      <c r="E470" s="47">
        <v>0</v>
      </c>
      <c r="F470" s="47">
        <v>2</v>
      </c>
      <c r="G470" s="47">
        <v>3</v>
      </c>
      <c r="H470" s="47">
        <v>9</v>
      </c>
      <c r="I470" s="39"/>
      <c r="J470" s="89">
        <f t="shared" si="38"/>
        <v>12</v>
      </c>
      <c r="K470" s="99">
        <v>26</v>
      </c>
      <c r="L470" s="75"/>
    </row>
    <row r="471" spans="1:12" ht="12.75">
      <c r="A471" s="2" t="s">
        <v>13</v>
      </c>
      <c r="B471" s="124">
        <f t="shared" si="37"/>
        <v>10</v>
      </c>
      <c r="C471" s="134">
        <v>0</v>
      </c>
      <c r="D471" s="47">
        <v>0</v>
      </c>
      <c r="E471" s="47">
        <v>0</v>
      </c>
      <c r="F471" s="47">
        <v>0</v>
      </c>
      <c r="G471" s="47">
        <v>2</v>
      </c>
      <c r="H471" s="47">
        <v>8</v>
      </c>
      <c r="I471" s="39"/>
      <c r="J471" s="89">
        <f t="shared" si="38"/>
        <v>28</v>
      </c>
      <c r="K471" s="99">
        <v>38</v>
      </c>
      <c r="L471" s="75"/>
    </row>
    <row r="472" spans="1:12" ht="12.75">
      <c r="A472" s="2" t="s">
        <v>14</v>
      </c>
      <c r="B472" s="124">
        <f t="shared" si="37"/>
        <v>8</v>
      </c>
      <c r="C472" s="134">
        <v>0</v>
      </c>
      <c r="D472" s="47">
        <v>0</v>
      </c>
      <c r="E472" s="47">
        <v>1</v>
      </c>
      <c r="F472" s="47">
        <v>2</v>
      </c>
      <c r="G472" s="47">
        <v>4</v>
      </c>
      <c r="H472" s="47">
        <v>1</v>
      </c>
      <c r="I472" s="39"/>
      <c r="J472" s="89">
        <f t="shared" si="38"/>
        <v>17</v>
      </c>
      <c r="K472" s="99">
        <v>25</v>
      </c>
      <c r="L472" s="75"/>
    </row>
    <row r="473" spans="1:12" ht="14.25">
      <c r="A473" s="3" t="s">
        <v>229</v>
      </c>
      <c r="B473" s="124">
        <f t="shared" si="37"/>
        <v>8</v>
      </c>
      <c r="C473" s="134">
        <v>0</v>
      </c>
      <c r="D473" s="47">
        <v>2</v>
      </c>
      <c r="E473" s="47">
        <v>0</v>
      </c>
      <c r="F473" s="47">
        <v>0</v>
      </c>
      <c r="G473" s="47">
        <v>4</v>
      </c>
      <c r="H473" s="47">
        <v>2</v>
      </c>
      <c r="I473" s="39"/>
      <c r="J473" s="89">
        <f t="shared" si="38"/>
        <v>15</v>
      </c>
      <c r="K473" s="99">
        <v>23</v>
      </c>
      <c r="L473" s="75"/>
    </row>
    <row r="474" spans="1:12" ht="12.75">
      <c r="A474" s="2" t="s">
        <v>15</v>
      </c>
      <c r="B474" s="124">
        <f t="shared" si="37"/>
        <v>13</v>
      </c>
      <c r="C474" s="134">
        <v>0</v>
      </c>
      <c r="D474" s="47">
        <v>1</v>
      </c>
      <c r="E474" s="47">
        <v>1</v>
      </c>
      <c r="F474" s="47">
        <v>0</v>
      </c>
      <c r="G474" s="47">
        <v>6</v>
      </c>
      <c r="H474" s="47">
        <v>5</v>
      </c>
      <c r="I474" s="39"/>
      <c r="J474" s="89">
        <f t="shared" si="38"/>
        <v>31</v>
      </c>
      <c r="K474" s="99">
        <v>44</v>
      </c>
      <c r="L474" s="75"/>
    </row>
    <row r="475" spans="1:12" ht="12.75">
      <c r="A475" s="2" t="s">
        <v>16</v>
      </c>
      <c r="B475" s="124">
        <f t="shared" si="37"/>
        <v>9</v>
      </c>
      <c r="C475" s="134">
        <v>0</v>
      </c>
      <c r="D475" s="47">
        <v>1</v>
      </c>
      <c r="E475" s="47">
        <v>0</v>
      </c>
      <c r="F475" s="47">
        <v>0</v>
      </c>
      <c r="G475" s="47">
        <v>7</v>
      </c>
      <c r="H475" s="47">
        <v>1</v>
      </c>
      <c r="I475" s="39"/>
      <c r="J475" s="89">
        <f t="shared" si="38"/>
        <v>16</v>
      </c>
      <c r="K475" s="99">
        <v>25</v>
      </c>
      <c r="L475" s="75"/>
    </row>
    <row r="476" spans="1:12" ht="12.75">
      <c r="A476" s="2" t="s">
        <v>17</v>
      </c>
      <c r="B476" s="124">
        <f t="shared" si="37"/>
        <v>8</v>
      </c>
      <c r="C476" s="134">
        <v>0</v>
      </c>
      <c r="D476" s="47">
        <v>1</v>
      </c>
      <c r="E476" s="47">
        <v>0</v>
      </c>
      <c r="F476" s="47">
        <v>1</v>
      </c>
      <c r="G476" s="47">
        <v>5</v>
      </c>
      <c r="H476" s="47">
        <v>1</v>
      </c>
      <c r="I476" s="39"/>
      <c r="J476" s="89">
        <f t="shared" si="38"/>
        <v>11</v>
      </c>
      <c r="K476" s="99">
        <v>19</v>
      </c>
      <c r="L476" s="75"/>
    </row>
    <row r="477" spans="1:12" ht="12.75">
      <c r="A477" s="6" t="s">
        <v>23</v>
      </c>
      <c r="B477" s="122">
        <f t="shared" si="37"/>
        <v>112</v>
      </c>
      <c r="C477" s="121">
        <f aca="true" t="shared" si="39" ref="C477:H477">SUM(C458:C476)</f>
        <v>0</v>
      </c>
      <c r="D477" s="119">
        <f t="shared" si="39"/>
        <v>7</v>
      </c>
      <c r="E477" s="119">
        <f t="shared" si="39"/>
        <v>2</v>
      </c>
      <c r="F477" s="119">
        <f t="shared" si="39"/>
        <v>8</v>
      </c>
      <c r="G477" s="119">
        <f t="shared" si="39"/>
        <v>47</v>
      </c>
      <c r="H477" s="119">
        <f t="shared" si="39"/>
        <v>48</v>
      </c>
      <c r="I477" s="39"/>
      <c r="J477" s="119">
        <f>SUM(J458:J476)</f>
        <v>319</v>
      </c>
      <c r="K477" s="122">
        <f>SUM(K458:K476)</f>
        <v>431</v>
      </c>
      <c r="L477" s="30"/>
    </row>
    <row r="478" spans="1:2" ht="12.75">
      <c r="A478" s="19" t="s">
        <v>238</v>
      </c>
      <c r="B478" s="20"/>
    </row>
    <row r="479" spans="1:2" ht="12.75">
      <c r="A479" s="19" t="s">
        <v>239</v>
      </c>
      <c r="B479" s="20"/>
    </row>
    <row r="480" spans="1:2" ht="12.75">
      <c r="A480" s="20"/>
      <c r="B480" s="20"/>
    </row>
    <row r="481" spans="1:2" ht="12.75">
      <c r="A481" s="20"/>
      <c r="B481" s="20"/>
    </row>
    <row r="482" ht="12.75">
      <c r="A482" s="14" t="s">
        <v>263</v>
      </c>
    </row>
    <row r="483" spans="1:10" ht="12.75">
      <c r="A483" s="16"/>
      <c r="B483" s="16"/>
      <c r="C483" s="11"/>
      <c r="D483" s="11"/>
      <c r="E483" s="11"/>
      <c r="F483" s="11"/>
      <c r="G483" s="11"/>
      <c r="H483" s="11"/>
      <c r="I483" s="129"/>
      <c r="J483" s="16"/>
    </row>
    <row r="484" spans="1:11" ht="12.75">
      <c r="A484" s="123"/>
      <c r="B484" s="120"/>
      <c r="C484" s="283" t="s">
        <v>248</v>
      </c>
      <c r="D484" s="284"/>
      <c r="E484" s="284"/>
      <c r="F484" s="285"/>
      <c r="G484" s="283" t="s">
        <v>237</v>
      </c>
      <c r="H484" s="285"/>
      <c r="I484" s="129"/>
      <c r="J484" s="120"/>
      <c r="K484" s="120"/>
    </row>
    <row r="485" spans="1:11" ht="12.75">
      <c r="A485" s="2"/>
      <c r="B485" s="2"/>
      <c r="C485" s="7" t="s">
        <v>233</v>
      </c>
      <c r="D485" s="5" t="s">
        <v>233</v>
      </c>
      <c r="E485" s="120"/>
      <c r="F485" s="7"/>
      <c r="G485" s="8"/>
      <c r="H485" s="8"/>
      <c r="I485" s="129"/>
      <c r="J485" s="8"/>
      <c r="K485" s="8"/>
    </row>
    <row r="486" spans="1:11" ht="12.75">
      <c r="A486" s="2"/>
      <c r="B486" s="2"/>
      <c r="C486" s="8" t="s">
        <v>234</v>
      </c>
      <c r="D486" s="5" t="s">
        <v>234</v>
      </c>
      <c r="E486" s="98"/>
      <c r="F486" s="8"/>
      <c r="G486" s="8"/>
      <c r="H486" s="8"/>
      <c r="I486" s="129"/>
      <c r="J486" s="8" t="s">
        <v>225</v>
      </c>
      <c r="K486" s="8"/>
    </row>
    <row r="487" spans="1:11" ht="12.75">
      <c r="A487" s="2"/>
      <c r="B487" s="2"/>
      <c r="C487" s="8" t="s">
        <v>231</v>
      </c>
      <c r="D487" s="5" t="s">
        <v>231</v>
      </c>
      <c r="E487" s="8" t="s">
        <v>233</v>
      </c>
      <c r="F487" s="8" t="s">
        <v>233</v>
      </c>
      <c r="G487" s="8" t="s">
        <v>233</v>
      </c>
      <c r="H487" s="8" t="s">
        <v>233</v>
      </c>
      <c r="I487" s="129"/>
      <c r="J487" s="8" t="s">
        <v>48</v>
      </c>
      <c r="K487" s="8" t="s">
        <v>198</v>
      </c>
    </row>
    <row r="488" spans="1:11" ht="12.75">
      <c r="A488" s="2"/>
      <c r="B488" s="2"/>
      <c r="C488" s="8" t="s">
        <v>227</v>
      </c>
      <c r="D488" s="5" t="s">
        <v>232</v>
      </c>
      <c r="E488" s="8" t="s">
        <v>235</v>
      </c>
      <c r="F488" s="8" t="s">
        <v>236</v>
      </c>
      <c r="G488" s="8" t="s">
        <v>235</v>
      </c>
      <c r="H488" s="8" t="s">
        <v>236</v>
      </c>
      <c r="I488" s="129"/>
      <c r="J488" s="8" t="s">
        <v>223</v>
      </c>
      <c r="K488" s="8" t="s">
        <v>205</v>
      </c>
    </row>
    <row r="489" spans="1:11" ht="14.25">
      <c r="A489" s="4"/>
      <c r="B489" s="17" t="s">
        <v>159</v>
      </c>
      <c r="C489" s="9" t="s">
        <v>226</v>
      </c>
      <c r="D489" s="17" t="s">
        <v>226</v>
      </c>
      <c r="E489" s="9" t="s">
        <v>62</v>
      </c>
      <c r="F489" s="9" t="s">
        <v>48</v>
      </c>
      <c r="G489" s="9" t="s">
        <v>62</v>
      </c>
      <c r="H489" s="9" t="s">
        <v>48</v>
      </c>
      <c r="I489" s="129"/>
      <c r="J489" s="9" t="s">
        <v>224</v>
      </c>
      <c r="K489" s="83" t="s">
        <v>259</v>
      </c>
    </row>
    <row r="490" spans="1:12" ht="12.75">
      <c r="A490" s="2" t="s">
        <v>0</v>
      </c>
      <c r="B490" s="124">
        <f>C490+D490+E490+F490+G490+H490</f>
        <v>6</v>
      </c>
      <c r="C490" s="134">
        <v>0</v>
      </c>
      <c r="D490" s="47">
        <v>0</v>
      </c>
      <c r="E490" s="47">
        <v>0</v>
      </c>
      <c r="F490" s="47">
        <v>0</v>
      </c>
      <c r="G490" s="47">
        <v>2</v>
      </c>
      <c r="H490" s="47">
        <v>4</v>
      </c>
      <c r="I490" s="39"/>
      <c r="J490" s="89">
        <f>K490-B490</f>
        <v>12</v>
      </c>
      <c r="K490" s="99">
        <v>18</v>
      </c>
      <c r="L490" s="75"/>
    </row>
    <row r="491" spans="1:12" ht="12.75">
      <c r="A491" s="2" t="s">
        <v>1</v>
      </c>
      <c r="B491" s="124">
        <f aca="true" t="shared" si="40" ref="B491:B509">C491+D491+E491+F491+G491+H491</f>
        <v>1</v>
      </c>
      <c r="C491" s="134">
        <v>0</v>
      </c>
      <c r="D491" s="47">
        <v>0</v>
      </c>
      <c r="E491" s="47">
        <v>0</v>
      </c>
      <c r="F491" s="47">
        <v>0</v>
      </c>
      <c r="G491" s="47">
        <v>0</v>
      </c>
      <c r="H491" s="47">
        <v>1</v>
      </c>
      <c r="I491" s="39"/>
      <c r="J491" s="89">
        <f aca="true" t="shared" si="41" ref="J491:J508">K491-B491</f>
        <v>21</v>
      </c>
      <c r="K491" s="99">
        <v>22</v>
      </c>
      <c r="L491" s="75"/>
    </row>
    <row r="492" spans="1:12" ht="12.75">
      <c r="A492" s="2" t="s">
        <v>2</v>
      </c>
      <c r="B492" s="124">
        <f t="shared" si="40"/>
        <v>0</v>
      </c>
      <c r="C492" s="134">
        <v>0</v>
      </c>
      <c r="D492" s="47">
        <v>0</v>
      </c>
      <c r="E492" s="47">
        <v>0</v>
      </c>
      <c r="F492" s="47">
        <v>0</v>
      </c>
      <c r="G492" s="47">
        <v>0</v>
      </c>
      <c r="H492" s="47">
        <v>0</v>
      </c>
      <c r="I492" s="39"/>
      <c r="J492" s="89">
        <f t="shared" si="41"/>
        <v>1</v>
      </c>
      <c r="K492" s="99">
        <v>1</v>
      </c>
      <c r="L492" s="75"/>
    </row>
    <row r="493" spans="1:12" ht="12.75">
      <c r="A493" s="2" t="s">
        <v>3</v>
      </c>
      <c r="B493" s="124">
        <f t="shared" si="40"/>
        <v>9</v>
      </c>
      <c r="C493" s="134">
        <v>0</v>
      </c>
      <c r="D493" s="47">
        <v>1</v>
      </c>
      <c r="E493" s="47">
        <v>0</v>
      </c>
      <c r="F493" s="47">
        <v>0</v>
      </c>
      <c r="G493" s="47">
        <v>3</v>
      </c>
      <c r="H493" s="47">
        <v>5</v>
      </c>
      <c r="I493" s="39"/>
      <c r="J493" s="89">
        <f t="shared" si="41"/>
        <v>13</v>
      </c>
      <c r="K493" s="99">
        <v>22</v>
      </c>
      <c r="L493" s="75"/>
    </row>
    <row r="494" spans="1:12" ht="12.75">
      <c r="A494" s="2" t="s">
        <v>4</v>
      </c>
      <c r="B494" s="124">
        <f t="shared" si="40"/>
        <v>4</v>
      </c>
      <c r="C494" s="134">
        <v>0</v>
      </c>
      <c r="D494" s="47">
        <v>0</v>
      </c>
      <c r="E494" s="47">
        <v>0</v>
      </c>
      <c r="F494" s="47">
        <v>0</v>
      </c>
      <c r="G494" s="47">
        <v>1</v>
      </c>
      <c r="H494" s="47">
        <v>3</v>
      </c>
      <c r="I494" s="39"/>
      <c r="J494" s="89">
        <f t="shared" si="41"/>
        <v>22</v>
      </c>
      <c r="K494" s="99">
        <v>26</v>
      </c>
      <c r="L494" s="75"/>
    </row>
    <row r="495" spans="1:12" ht="14.25">
      <c r="A495" s="2" t="s">
        <v>230</v>
      </c>
      <c r="B495" s="124">
        <f t="shared" si="40"/>
        <v>5</v>
      </c>
      <c r="C495" s="134">
        <v>0</v>
      </c>
      <c r="D495" s="47">
        <v>0</v>
      </c>
      <c r="E495" s="47">
        <v>0</v>
      </c>
      <c r="F495" s="47">
        <v>0</v>
      </c>
      <c r="G495" s="47">
        <v>1</v>
      </c>
      <c r="H495" s="47">
        <v>4</v>
      </c>
      <c r="I495" s="39"/>
      <c r="J495" s="89">
        <f t="shared" si="41"/>
        <v>15</v>
      </c>
      <c r="K495" s="99">
        <v>20</v>
      </c>
      <c r="L495" s="75"/>
    </row>
    <row r="496" spans="1:12" ht="12.75">
      <c r="A496" s="2" t="s">
        <v>6</v>
      </c>
      <c r="B496" s="124">
        <f t="shared" si="40"/>
        <v>1</v>
      </c>
      <c r="C496" s="134">
        <v>0</v>
      </c>
      <c r="D496" s="47">
        <v>0</v>
      </c>
      <c r="E496" s="47">
        <v>0</v>
      </c>
      <c r="F496" s="47">
        <v>0</v>
      </c>
      <c r="G496" s="47">
        <v>0</v>
      </c>
      <c r="H496" s="47">
        <v>1</v>
      </c>
      <c r="I496" s="39"/>
      <c r="J496" s="89">
        <f t="shared" si="41"/>
        <v>13</v>
      </c>
      <c r="K496" s="99">
        <v>14</v>
      </c>
      <c r="L496" s="75"/>
    </row>
    <row r="497" spans="1:13" s="16" customFormat="1" ht="12.75">
      <c r="A497" s="3" t="s">
        <v>7</v>
      </c>
      <c r="B497" s="124">
        <f t="shared" si="40"/>
        <v>5</v>
      </c>
      <c r="C497" s="134">
        <v>0</v>
      </c>
      <c r="D497" s="47">
        <v>0</v>
      </c>
      <c r="E497" s="47">
        <v>0</v>
      </c>
      <c r="F497" s="47">
        <v>1</v>
      </c>
      <c r="G497" s="47">
        <v>1</v>
      </c>
      <c r="H497" s="47">
        <v>3</v>
      </c>
      <c r="I497" s="39"/>
      <c r="J497" s="89">
        <f t="shared" si="41"/>
        <v>13</v>
      </c>
      <c r="K497" s="99">
        <v>18</v>
      </c>
      <c r="L497" s="75"/>
      <c r="M497"/>
    </row>
    <row r="498" spans="1:13" s="16" customFormat="1" ht="12.75">
      <c r="A498" s="2" t="s">
        <v>8</v>
      </c>
      <c r="B498" s="124">
        <f t="shared" si="40"/>
        <v>2</v>
      </c>
      <c r="C498" s="134">
        <v>0</v>
      </c>
      <c r="D498" s="47">
        <v>0</v>
      </c>
      <c r="E498" s="47">
        <v>0</v>
      </c>
      <c r="F498" s="47">
        <v>0</v>
      </c>
      <c r="G498" s="47">
        <v>0</v>
      </c>
      <c r="H498" s="47">
        <v>2</v>
      </c>
      <c r="I498" s="39"/>
      <c r="J498" s="89">
        <f t="shared" si="41"/>
        <v>13</v>
      </c>
      <c r="K498" s="99">
        <v>15</v>
      </c>
      <c r="L498" s="75"/>
      <c r="M498"/>
    </row>
    <row r="499" spans="1:12" ht="12.75">
      <c r="A499" s="2" t="s">
        <v>9</v>
      </c>
      <c r="B499" s="124">
        <f t="shared" si="40"/>
        <v>2</v>
      </c>
      <c r="C499" s="134">
        <v>0</v>
      </c>
      <c r="D499" s="47">
        <v>0</v>
      </c>
      <c r="E499" s="47">
        <v>0</v>
      </c>
      <c r="F499" s="47">
        <v>0</v>
      </c>
      <c r="G499" s="47">
        <v>1</v>
      </c>
      <c r="H499" s="47">
        <v>1</v>
      </c>
      <c r="I499" s="39"/>
      <c r="J499" s="89">
        <f t="shared" si="41"/>
        <v>13</v>
      </c>
      <c r="K499" s="99">
        <v>15</v>
      </c>
      <c r="L499" s="75"/>
    </row>
    <row r="500" spans="1:12" ht="12.75">
      <c r="A500" s="2" t="s">
        <v>10</v>
      </c>
      <c r="B500" s="124">
        <f t="shared" si="40"/>
        <v>7</v>
      </c>
      <c r="C500" s="134">
        <v>0</v>
      </c>
      <c r="D500" s="47">
        <v>0</v>
      </c>
      <c r="E500" s="47">
        <v>0</v>
      </c>
      <c r="F500" s="47">
        <v>1</v>
      </c>
      <c r="G500" s="47">
        <v>4</v>
      </c>
      <c r="H500" s="47">
        <v>2</v>
      </c>
      <c r="I500" s="39"/>
      <c r="J500" s="89">
        <f t="shared" si="41"/>
        <v>20</v>
      </c>
      <c r="K500" s="99">
        <v>27</v>
      </c>
      <c r="L500" s="75"/>
    </row>
    <row r="501" spans="1:12" ht="12.75">
      <c r="A501" s="3" t="s">
        <v>11</v>
      </c>
      <c r="B501" s="124">
        <f t="shared" si="40"/>
        <v>8</v>
      </c>
      <c r="C501" s="134">
        <v>0</v>
      </c>
      <c r="D501" s="47">
        <v>0</v>
      </c>
      <c r="E501" s="47">
        <v>0</v>
      </c>
      <c r="F501" s="47">
        <v>0</v>
      </c>
      <c r="G501" s="47">
        <v>4</v>
      </c>
      <c r="H501" s="47">
        <v>4</v>
      </c>
      <c r="I501" s="39"/>
      <c r="J501" s="89">
        <f t="shared" si="41"/>
        <v>25</v>
      </c>
      <c r="K501" s="99">
        <v>33</v>
      </c>
      <c r="L501" s="75"/>
    </row>
    <row r="502" spans="1:12" ht="12.75">
      <c r="A502" s="2" t="s">
        <v>12</v>
      </c>
      <c r="B502" s="124">
        <f t="shared" si="40"/>
        <v>11</v>
      </c>
      <c r="C502" s="134">
        <v>0</v>
      </c>
      <c r="D502" s="47">
        <v>0</v>
      </c>
      <c r="E502" s="47">
        <v>0</v>
      </c>
      <c r="F502" s="47">
        <v>1</v>
      </c>
      <c r="G502" s="47">
        <v>3</v>
      </c>
      <c r="H502" s="47">
        <v>7</v>
      </c>
      <c r="I502" s="39"/>
      <c r="J502" s="89">
        <f t="shared" si="41"/>
        <v>15</v>
      </c>
      <c r="K502" s="99">
        <v>26</v>
      </c>
      <c r="L502" s="75"/>
    </row>
    <row r="503" spans="1:12" ht="12.75">
      <c r="A503" s="2" t="s">
        <v>13</v>
      </c>
      <c r="B503" s="124">
        <f t="shared" si="40"/>
        <v>11</v>
      </c>
      <c r="C503" s="134">
        <v>0</v>
      </c>
      <c r="D503" s="47">
        <v>0</v>
      </c>
      <c r="E503" s="47">
        <v>0</v>
      </c>
      <c r="F503" s="47">
        <v>1</v>
      </c>
      <c r="G503" s="47">
        <v>2</v>
      </c>
      <c r="H503" s="47">
        <v>8</v>
      </c>
      <c r="I503" s="39"/>
      <c r="J503" s="89">
        <f t="shared" si="41"/>
        <v>27</v>
      </c>
      <c r="K503" s="99">
        <v>38</v>
      </c>
      <c r="L503" s="75"/>
    </row>
    <row r="504" spans="1:12" ht="12.75">
      <c r="A504" s="2" t="s">
        <v>14</v>
      </c>
      <c r="B504" s="124">
        <f t="shared" si="40"/>
        <v>8</v>
      </c>
      <c r="C504" s="134">
        <v>0</v>
      </c>
      <c r="D504" s="47">
        <v>0</v>
      </c>
      <c r="E504" s="47">
        <v>0</v>
      </c>
      <c r="F504" s="47">
        <v>1</v>
      </c>
      <c r="G504" s="47">
        <v>5</v>
      </c>
      <c r="H504" s="47">
        <v>2</v>
      </c>
      <c r="I504" s="39"/>
      <c r="J504" s="89">
        <f t="shared" si="41"/>
        <v>17</v>
      </c>
      <c r="K504" s="99">
        <v>25</v>
      </c>
      <c r="L504" s="75"/>
    </row>
    <row r="505" spans="1:12" ht="14.25">
      <c r="A505" s="3" t="s">
        <v>229</v>
      </c>
      <c r="B505" s="124">
        <f t="shared" si="40"/>
        <v>9</v>
      </c>
      <c r="C505" s="134">
        <v>0</v>
      </c>
      <c r="D505" s="47">
        <v>2</v>
      </c>
      <c r="E505" s="47">
        <v>0</v>
      </c>
      <c r="F505" s="47">
        <v>0</v>
      </c>
      <c r="G505" s="47">
        <v>4</v>
      </c>
      <c r="H505" s="47">
        <v>3</v>
      </c>
      <c r="I505" s="39"/>
      <c r="J505" s="89">
        <f t="shared" si="41"/>
        <v>14</v>
      </c>
      <c r="K505" s="99">
        <v>23</v>
      </c>
      <c r="L505" s="75"/>
    </row>
    <row r="506" spans="1:12" ht="12.75">
      <c r="A506" s="2" t="s">
        <v>15</v>
      </c>
      <c r="B506" s="124">
        <f t="shared" si="40"/>
        <v>13</v>
      </c>
      <c r="C506" s="134">
        <v>0</v>
      </c>
      <c r="D506" s="47">
        <v>2</v>
      </c>
      <c r="E506" s="47">
        <v>2</v>
      </c>
      <c r="F506" s="47">
        <v>1</v>
      </c>
      <c r="G506" s="47">
        <v>5</v>
      </c>
      <c r="H506" s="47">
        <v>3</v>
      </c>
      <c r="I506" s="39"/>
      <c r="J506" s="89">
        <f t="shared" si="41"/>
        <v>31</v>
      </c>
      <c r="K506" s="99">
        <v>44</v>
      </c>
      <c r="L506" s="75"/>
    </row>
    <row r="507" spans="1:12" ht="12.75">
      <c r="A507" s="2" t="s">
        <v>16</v>
      </c>
      <c r="B507" s="124">
        <f t="shared" si="40"/>
        <v>9</v>
      </c>
      <c r="C507" s="134">
        <v>0</v>
      </c>
      <c r="D507" s="47">
        <v>1</v>
      </c>
      <c r="E507" s="47">
        <v>0</v>
      </c>
      <c r="F507" s="47">
        <v>1</v>
      </c>
      <c r="G507" s="47">
        <v>6</v>
      </c>
      <c r="H507" s="47">
        <v>1</v>
      </c>
      <c r="I507" s="39"/>
      <c r="J507" s="89">
        <f t="shared" si="41"/>
        <v>16</v>
      </c>
      <c r="K507" s="99">
        <v>25</v>
      </c>
      <c r="L507" s="75"/>
    </row>
    <row r="508" spans="1:12" ht="12.75">
      <c r="A508" s="2" t="s">
        <v>17</v>
      </c>
      <c r="B508" s="124">
        <f t="shared" si="40"/>
        <v>8</v>
      </c>
      <c r="C508" s="134">
        <v>0</v>
      </c>
      <c r="D508" s="47">
        <v>1</v>
      </c>
      <c r="E508" s="47">
        <v>0</v>
      </c>
      <c r="F508" s="47">
        <v>1</v>
      </c>
      <c r="G508" s="47">
        <v>5</v>
      </c>
      <c r="H508" s="47">
        <v>1</v>
      </c>
      <c r="I508" s="39"/>
      <c r="J508" s="89">
        <f t="shared" si="41"/>
        <v>11</v>
      </c>
      <c r="K508" s="99">
        <v>19</v>
      </c>
      <c r="L508" s="75"/>
    </row>
    <row r="509" spans="1:12" ht="12.75">
      <c r="A509" s="6" t="s">
        <v>23</v>
      </c>
      <c r="B509" s="122">
        <f t="shared" si="40"/>
        <v>119</v>
      </c>
      <c r="C509" s="121">
        <f aca="true" t="shared" si="42" ref="C509:H509">SUM(C490:C508)</f>
        <v>0</v>
      </c>
      <c r="D509" s="119">
        <f t="shared" si="42"/>
        <v>7</v>
      </c>
      <c r="E509" s="119">
        <f t="shared" si="42"/>
        <v>2</v>
      </c>
      <c r="F509" s="119">
        <f t="shared" si="42"/>
        <v>8</v>
      </c>
      <c r="G509" s="119">
        <f t="shared" si="42"/>
        <v>47</v>
      </c>
      <c r="H509" s="119">
        <f t="shared" si="42"/>
        <v>55</v>
      </c>
      <c r="I509" s="39"/>
      <c r="J509" s="119">
        <f>SUM(J490:J508)</f>
        <v>312</v>
      </c>
      <c r="K509" s="122">
        <f>SUM(K490:K508)</f>
        <v>431</v>
      </c>
      <c r="L509" s="30"/>
    </row>
    <row r="510" spans="1:2" ht="12.75">
      <c r="A510" s="19" t="s">
        <v>238</v>
      </c>
      <c r="B510" s="20"/>
    </row>
    <row r="511" spans="1:2" ht="12.75">
      <c r="A511" s="19" t="s">
        <v>239</v>
      </c>
      <c r="B511" s="20"/>
    </row>
    <row r="514" spans="1:10" ht="12.75">
      <c r="A514" s="14" t="s">
        <v>261</v>
      </c>
      <c r="B514" s="14"/>
      <c r="C514" s="11"/>
      <c r="D514" s="11"/>
      <c r="E514" s="11"/>
      <c r="F514" s="11"/>
      <c r="G514" s="11"/>
      <c r="H514" s="11"/>
      <c r="I514" s="129"/>
      <c r="J514" s="14"/>
    </row>
    <row r="515" spans="1:10" ht="12.75">
      <c r="A515" s="16"/>
      <c r="B515" s="16"/>
      <c r="C515" s="11"/>
      <c r="D515" s="11"/>
      <c r="E515" s="11"/>
      <c r="F515" s="11"/>
      <c r="G515" s="11"/>
      <c r="H515" s="11"/>
      <c r="I515" s="129"/>
      <c r="J515" s="16"/>
    </row>
    <row r="516" spans="1:11" ht="12.75">
      <c r="A516" s="123"/>
      <c r="B516" s="120"/>
      <c r="C516" s="283" t="s">
        <v>248</v>
      </c>
      <c r="D516" s="284"/>
      <c r="E516" s="284"/>
      <c r="F516" s="285"/>
      <c r="G516" s="283" t="s">
        <v>237</v>
      </c>
      <c r="H516" s="285"/>
      <c r="I516" s="129"/>
      <c r="J516" s="120"/>
      <c r="K516" s="120"/>
    </row>
    <row r="517" spans="1:11" ht="12.75">
      <c r="A517" s="2"/>
      <c r="B517" s="2"/>
      <c r="C517" s="7" t="s">
        <v>233</v>
      </c>
      <c r="D517" s="5" t="s">
        <v>233</v>
      </c>
      <c r="E517" s="120"/>
      <c r="F517" s="7"/>
      <c r="G517" s="8"/>
      <c r="H517" s="8"/>
      <c r="I517" s="129"/>
      <c r="J517" s="8"/>
      <c r="K517" s="8"/>
    </row>
    <row r="518" spans="1:11" ht="12.75">
      <c r="A518" s="2"/>
      <c r="B518" s="2"/>
      <c r="C518" s="8" t="s">
        <v>234</v>
      </c>
      <c r="D518" s="5" t="s">
        <v>234</v>
      </c>
      <c r="E518" s="98"/>
      <c r="F518" s="8"/>
      <c r="G518" s="8"/>
      <c r="H518" s="8"/>
      <c r="I518" s="129"/>
      <c r="J518" s="8" t="s">
        <v>225</v>
      </c>
      <c r="K518" s="8"/>
    </row>
    <row r="519" spans="1:11" ht="12.75">
      <c r="A519" s="2"/>
      <c r="B519" s="2"/>
      <c r="C519" s="8" t="s">
        <v>231</v>
      </c>
      <c r="D519" s="5" t="s">
        <v>231</v>
      </c>
      <c r="E519" s="8" t="s">
        <v>233</v>
      </c>
      <c r="F519" s="8" t="s">
        <v>233</v>
      </c>
      <c r="G519" s="8" t="s">
        <v>233</v>
      </c>
      <c r="H519" s="8" t="s">
        <v>233</v>
      </c>
      <c r="I519" s="129"/>
      <c r="J519" s="8" t="s">
        <v>48</v>
      </c>
      <c r="K519" s="8" t="s">
        <v>198</v>
      </c>
    </row>
    <row r="520" spans="1:11" ht="12.75">
      <c r="A520" s="2"/>
      <c r="B520" s="2"/>
      <c r="C520" s="8" t="s">
        <v>227</v>
      </c>
      <c r="D520" s="5" t="s">
        <v>232</v>
      </c>
      <c r="E520" s="8" t="s">
        <v>235</v>
      </c>
      <c r="F520" s="8" t="s">
        <v>236</v>
      </c>
      <c r="G520" s="8" t="s">
        <v>235</v>
      </c>
      <c r="H520" s="8" t="s">
        <v>236</v>
      </c>
      <c r="I520" s="129"/>
      <c r="J520" s="8" t="s">
        <v>223</v>
      </c>
      <c r="K520" s="8" t="s">
        <v>205</v>
      </c>
    </row>
    <row r="521" spans="1:11" ht="14.25">
      <c r="A521" s="4"/>
      <c r="B521" s="17" t="s">
        <v>159</v>
      </c>
      <c r="C521" s="9" t="s">
        <v>226</v>
      </c>
      <c r="D521" s="17" t="s">
        <v>226</v>
      </c>
      <c r="E521" s="9" t="s">
        <v>62</v>
      </c>
      <c r="F521" s="9" t="s">
        <v>48</v>
      </c>
      <c r="G521" s="9" t="s">
        <v>62</v>
      </c>
      <c r="H521" s="9" t="s">
        <v>48</v>
      </c>
      <c r="I521" s="129"/>
      <c r="J521" s="9" t="s">
        <v>224</v>
      </c>
      <c r="K521" s="83" t="s">
        <v>259</v>
      </c>
    </row>
    <row r="522" spans="1:12" ht="12.75">
      <c r="A522" s="2" t="s">
        <v>0</v>
      </c>
      <c r="B522" s="124">
        <f>C522+D522+E522+F522+G522+H522</f>
        <v>6</v>
      </c>
      <c r="C522" s="134">
        <v>0</v>
      </c>
      <c r="D522" s="47">
        <v>0</v>
      </c>
      <c r="E522" s="47">
        <v>0</v>
      </c>
      <c r="F522" s="47">
        <v>3</v>
      </c>
      <c r="G522" s="47">
        <v>2</v>
      </c>
      <c r="H522" s="47">
        <v>1</v>
      </c>
      <c r="I522" s="39"/>
      <c r="J522" s="89">
        <f>K522-B522</f>
        <v>12</v>
      </c>
      <c r="K522" s="99">
        <v>18</v>
      </c>
      <c r="L522" s="75"/>
    </row>
    <row r="523" spans="1:12" ht="12.75">
      <c r="A523" s="2" t="s">
        <v>1</v>
      </c>
      <c r="B523" s="124">
        <f aca="true" t="shared" si="43" ref="B523:B541">C523+D523+E523+F523+G523+H523</f>
        <v>2</v>
      </c>
      <c r="C523" s="134">
        <v>0</v>
      </c>
      <c r="D523" s="47">
        <v>0</v>
      </c>
      <c r="E523" s="47">
        <v>0</v>
      </c>
      <c r="F523" s="47">
        <v>0</v>
      </c>
      <c r="G523" s="47">
        <v>0</v>
      </c>
      <c r="H523" s="47">
        <v>2</v>
      </c>
      <c r="I523" s="39"/>
      <c r="J523" s="89">
        <f aca="true" t="shared" si="44" ref="J523:J540">K523-B523</f>
        <v>20</v>
      </c>
      <c r="K523" s="99">
        <v>22</v>
      </c>
      <c r="L523" s="75"/>
    </row>
    <row r="524" spans="1:12" ht="12.75">
      <c r="A524" s="2" t="s">
        <v>2</v>
      </c>
      <c r="B524" s="124">
        <f t="shared" si="43"/>
        <v>0</v>
      </c>
      <c r="C524" s="134">
        <v>0</v>
      </c>
      <c r="D524" s="47">
        <v>0</v>
      </c>
      <c r="E524" s="47">
        <v>0</v>
      </c>
      <c r="F524" s="47">
        <v>0</v>
      </c>
      <c r="G524" s="47">
        <v>0</v>
      </c>
      <c r="H524" s="47">
        <v>0</v>
      </c>
      <c r="I524" s="39"/>
      <c r="J524" s="89">
        <f t="shared" si="44"/>
        <v>1</v>
      </c>
      <c r="K524" s="99">
        <v>1</v>
      </c>
      <c r="L524" s="75"/>
    </row>
    <row r="525" spans="1:12" ht="12.75">
      <c r="A525" s="2" t="s">
        <v>3</v>
      </c>
      <c r="B525" s="124">
        <f t="shared" si="43"/>
        <v>10</v>
      </c>
      <c r="C525" s="134">
        <v>0</v>
      </c>
      <c r="D525" s="47">
        <v>1</v>
      </c>
      <c r="E525" s="47">
        <v>0</v>
      </c>
      <c r="F525" s="47">
        <v>1</v>
      </c>
      <c r="G525" s="47">
        <v>2</v>
      </c>
      <c r="H525" s="47">
        <v>6</v>
      </c>
      <c r="I525" s="39"/>
      <c r="J525" s="89">
        <f t="shared" si="44"/>
        <v>12</v>
      </c>
      <c r="K525" s="99">
        <v>22</v>
      </c>
      <c r="L525" s="75"/>
    </row>
    <row r="526" spans="1:12" ht="12.75">
      <c r="A526" s="2" t="s">
        <v>4</v>
      </c>
      <c r="B526" s="124">
        <f t="shared" si="43"/>
        <v>2</v>
      </c>
      <c r="C526" s="134">
        <v>0</v>
      </c>
      <c r="D526" s="47">
        <v>0</v>
      </c>
      <c r="E526" s="47">
        <v>0</v>
      </c>
      <c r="F526" s="47">
        <v>0</v>
      </c>
      <c r="G526" s="47">
        <v>1</v>
      </c>
      <c r="H526" s="47">
        <v>1</v>
      </c>
      <c r="I526" s="39"/>
      <c r="J526" s="89">
        <f t="shared" si="44"/>
        <v>24</v>
      </c>
      <c r="K526" s="99">
        <v>26</v>
      </c>
      <c r="L526" s="75"/>
    </row>
    <row r="527" spans="1:12" ht="14.25">
      <c r="A527" s="2" t="s">
        <v>230</v>
      </c>
      <c r="B527" s="124">
        <f t="shared" si="43"/>
        <v>4</v>
      </c>
      <c r="C527" s="134">
        <v>0</v>
      </c>
      <c r="D527" s="47">
        <v>0</v>
      </c>
      <c r="E527" s="47">
        <v>0</v>
      </c>
      <c r="F527" s="47">
        <v>0</v>
      </c>
      <c r="G527" s="47">
        <v>1</v>
      </c>
      <c r="H527" s="47">
        <v>3</v>
      </c>
      <c r="I527" s="39"/>
      <c r="J527" s="89">
        <f t="shared" si="44"/>
        <v>16</v>
      </c>
      <c r="K527" s="99">
        <v>20</v>
      </c>
      <c r="L527" s="75"/>
    </row>
    <row r="528" spans="1:12" ht="12.75">
      <c r="A528" s="2" t="s">
        <v>6</v>
      </c>
      <c r="B528" s="124">
        <f t="shared" si="43"/>
        <v>0</v>
      </c>
      <c r="C528" s="134">
        <v>0</v>
      </c>
      <c r="D528" s="47">
        <v>0</v>
      </c>
      <c r="E528" s="47">
        <v>0</v>
      </c>
      <c r="F528" s="47">
        <v>0</v>
      </c>
      <c r="G528" s="47">
        <v>0</v>
      </c>
      <c r="H528" s="47">
        <v>0</v>
      </c>
      <c r="I528" s="39"/>
      <c r="J528" s="89">
        <f t="shared" si="44"/>
        <v>14</v>
      </c>
      <c r="K528" s="99">
        <v>14</v>
      </c>
      <c r="L528" s="75"/>
    </row>
    <row r="529" spans="1:13" s="16" customFormat="1" ht="12.75">
      <c r="A529" s="3" t="s">
        <v>7</v>
      </c>
      <c r="B529" s="124">
        <f t="shared" si="43"/>
        <v>5</v>
      </c>
      <c r="C529" s="134">
        <v>0</v>
      </c>
      <c r="D529" s="47">
        <v>0</v>
      </c>
      <c r="E529" s="47">
        <v>1</v>
      </c>
      <c r="F529" s="47">
        <v>3</v>
      </c>
      <c r="G529" s="47">
        <v>1</v>
      </c>
      <c r="H529" s="47">
        <v>0</v>
      </c>
      <c r="I529" s="39"/>
      <c r="J529" s="89">
        <f t="shared" si="44"/>
        <v>13</v>
      </c>
      <c r="K529" s="99">
        <v>18</v>
      </c>
      <c r="L529" s="75"/>
      <c r="M529"/>
    </row>
    <row r="530" spans="1:13" s="16" customFormat="1" ht="12.75">
      <c r="A530" s="2" t="s">
        <v>8</v>
      </c>
      <c r="B530" s="124">
        <f t="shared" si="43"/>
        <v>0</v>
      </c>
      <c r="C530" s="134">
        <v>0</v>
      </c>
      <c r="D530" s="47">
        <v>0</v>
      </c>
      <c r="E530" s="47">
        <v>0</v>
      </c>
      <c r="F530" s="47">
        <v>0</v>
      </c>
      <c r="G530" s="47">
        <v>0</v>
      </c>
      <c r="H530" s="47">
        <v>0</v>
      </c>
      <c r="I530" s="39"/>
      <c r="J530" s="89">
        <f t="shared" si="44"/>
        <v>15</v>
      </c>
      <c r="K530" s="99">
        <v>15</v>
      </c>
      <c r="L530" s="75"/>
      <c r="M530"/>
    </row>
    <row r="531" spans="1:12" ht="12.75">
      <c r="A531" s="2" t="s">
        <v>9</v>
      </c>
      <c r="B531" s="124">
        <f t="shared" si="43"/>
        <v>3</v>
      </c>
      <c r="C531" s="134">
        <v>0</v>
      </c>
      <c r="D531" s="47">
        <v>0</v>
      </c>
      <c r="E531" s="47">
        <v>0</v>
      </c>
      <c r="F531" s="47">
        <v>0</v>
      </c>
      <c r="G531" s="47">
        <v>1</v>
      </c>
      <c r="H531" s="47">
        <v>2</v>
      </c>
      <c r="I531" s="39"/>
      <c r="J531" s="89">
        <f t="shared" si="44"/>
        <v>12</v>
      </c>
      <c r="K531" s="99">
        <v>15</v>
      </c>
      <c r="L531" s="75"/>
    </row>
    <row r="532" spans="1:12" ht="12.75">
      <c r="A532" s="2" t="s">
        <v>10</v>
      </c>
      <c r="B532" s="124">
        <f t="shared" si="43"/>
        <v>7</v>
      </c>
      <c r="C532" s="134">
        <v>0</v>
      </c>
      <c r="D532" s="47">
        <v>0</v>
      </c>
      <c r="E532" s="47">
        <v>0</v>
      </c>
      <c r="F532" s="47">
        <v>1</v>
      </c>
      <c r="G532" s="47">
        <v>4</v>
      </c>
      <c r="H532" s="47">
        <v>2</v>
      </c>
      <c r="I532" s="39"/>
      <c r="J532" s="89">
        <f t="shared" si="44"/>
        <v>20</v>
      </c>
      <c r="K532" s="99">
        <v>27</v>
      </c>
      <c r="L532" s="75"/>
    </row>
    <row r="533" spans="1:12" ht="12.75">
      <c r="A533" s="3" t="s">
        <v>11</v>
      </c>
      <c r="B533" s="124">
        <f t="shared" si="43"/>
        <v>10</v>
      </c>
      <c r="C533" s="134">
        <v>0</v>
      </c>
      <c r="D533" s="47">
        <v>0</v>
      </c>
      <c r="E533" s="47">
        <v>0</v>
      </c>
      <c r="F533" s="47">
        <v>2</v>
      </c>
      <c r="G533" s="47">
        <v>4</v>
      </c>
      <c r="H533" s="47">
        <v>4</v>
      </c>
      <c r="I533" s="39"/>
      <c r="J533" s="89">
        <f t="shared" si="44"/>
        <v>23</v>
      </c>
      <c r="K533" s="99">
        <v>33</v>
      </c>
      <c r="L533" s="75"/>
    </row>
    <row r="534" spans="1:12" ht="12.75">
      <c r="A534" s="2" t="s">
        <v>12</v>
      </c>
      <c r="B534" s="124">
        <f t="shared" si="43"/>
        <v>8</v>
      </c>
      <c r="C534" s="134">
        <v>0</v>
      </c>
      <c r="D534" s="47">
        <v>0</v>
      </c>
      <c r="E534" s="47">
        <v>0</v>
      </c>
      <c r="F534" s="47">
        <v>2</v>
      </c>
      <c r="G534" s="47">
        <v>3</v>
      </c>
      <c r="H534" s="47">
        <v>3</v>
      </c>
      <c r="I534" s="39"/>
      <c r="J534" s="89">
        <f t="shared" si="44"/>
        <v>18</v>
      </c>
      <c r="K534" s="99">
        <v>26</v>
      </c>
      <c r="L534" s="75"/>
    </row>
    <row r="535" spans="1:12" ht="12.75">
      <c r="A535" s="2" t="s">
        <v>13</v>
      </c>
      <c r="B535" s="124">
        <f t="shared" si="43"/>
        <v>7</v>
      </c>
      <c r="C535" s="134">
        <v>0</v>
      </c>
      <c r="D535" s="47">
        <v>0</v>
      </c>
      <c r="E535" s="47">
        <v>0</v>
      </c>
      <c r="F535" s="47">
        <v>2</v>
      </c>
      <c r="G535" s="47">
        <v>3</v>
      </c>
      <c r="H535" s="47">
        <v>2</v>
      </c>
      <c r="I535" s="39"/>
      <c r="J535" s="89">
        <f t="shared" si="44"/>
        <v>31</v>
      </c>
      <c r="K535" s="99">
        <v>38</v>
      </c>
      <c r="L535" s="75"/>
    </row>
    <row r="536" spans="1:12" ht="12.75">
      <c r="A536" s="2" t="s">
        <v>14</v>
      </c>
      <c r="B536" s="124">
        <f t="shared" si="43"/>
        <v>8</v>
      </c>
      <c r="C536" s="134">
        <v>0</v>
      </c>
      <c r="D536" s="47">
        <v>0</v>
      </c>
      <c r="E536" s="47">
        <v>0</v>
      </c>
      <c r="F536" s="47">
        <v>0</v>
      </c>
      <c r="G536" s="47">
        <v>4</v>
      </c>
      <c r="H536" s="47">
        <v>4</v>
      </c>
      <c r="I536" s="39"/>
      <c r="J536" s="89">
        <f t="shared" si="44"/>
        <v>17</v>
      </c>
      <c r="K536" s="99">
        <v>25</v>
      </c>
      <c r="L536" s="75"/>
    </row>
    <row r="537" spans="1:12" ht="14.25">
      <c r="A537" s="3" t="s">
        <v>229</v>
      </c>
      <c r="B537" s="124">
        <f t="shared" si="43"/>
        <v>8</v>
      </c>
      <c r="C537" s="134">
        <v>0</v>
      </c>
      <c r="D537" s="47">
        <v>2</v>
      </c>
      <c r="E537" s="47">
        <v>0</v>
      </c>
      <c r="F537" s="47">
        <v>0</v>
      </c>
      <c r="G537" s="47">
        <v>2</v>
      </c>
      <c r="H537" s="47">
        <v>4</v>
      </c>
      <c r="I537" s="39"/>
      <c r="J537" s="89">
        <f t="shared" si="44"/>
        <v>15</v>
      </c>
      <c r="K537" s="99">
        <v>23</v>
      </c>
      <c r="L537" s="75"/>
    </row>
    <row r="538" spans="1:12" ht="12.75">
      <c r="A538" s="2" t="s">
        <v>15</v>
      </c>
      <c r="B538" s="124">
        <f t="shared" si="43"/>
        <v>16</v>
      </c>
      <c r="C538" s="134">
        <v>0</v>
      </c>
      <c r="D538" s="47">
        <v>2</v>
      </c>
      <c r="E538" s="47">
        <v>0</v>
      </c>
      <c r="F538" s="47">
        <v>0</v>
      </c>
      <c r="G538" s="47">
        <v>9</v>
      </c>
      <c r="H538" s="47">
        <v>5</v>
      </c>
      <c r="I538" s="39"/>
      <c r="J538" s="89">
        <f t="shared" si="44"/>
        <v>28</v>
      </c>
      <c r="K538" s="99">
        <v>44</v>
      </c>
      <c r="L538" s="75"/>
    </row>
    <row r="539" spans="1:12" ht="12.75">
      <c r="A539" s="2" t="s">
        <v>16</v>
      </c>
      <c r="B539" s="124">
        <f t="shared" si="43"/>
        <v>8</v>
      </c>
      <c r="C539" s="134">
        <v>0</v>
      </c>
      <c r="D539" s="47">
        <v>1</v>
      </c>
      <c r="E539" s="47">
        <v>0</v>
      </c>
      <c r="F539" s="47">
        <v>0</v>
      </c>
      <c r="G539" s="47">
        <v>6</v>
      </c>
      <c r="H539" s="47">
        <v>1</v>
      </c>
      <c r="I539" s="39"/>
      <c r="J539" s="89">
        <f t="shared" si="44"/>
        <v>17</v>
      </c>
      <c r="K539" s="99">
        <v>25</v>
      </c>
      <c r="L539" s="75"/>
    </row>
    <row r="540" spans="1:12" ht="12.75">
      <c r="A540" s="2" t="s">
        <v>17</v>
      </c>
      <c r="B540" s="124">
        <f t="shared" si="43"/>
        <v>6</v>
      </c>
      <c r="C540" s="134">
        <v>0</v>
      </c>
      <c r="D540" s="47">
        <v>1</v>
      </c>
      <c r="E540" s="47">
        <v>0</v>
      </c>
      <c r="F540" s="47">
        <v>1</v>
      </c>
      <c r="G540" s="47">
        <v>4</v>
      </c>
      <c r="H540" s="47">
        <v>0</v>
      </c>
      <c r="I540" s="39"/>
      <c r="J540" s="89">
        <f t="shared" si="44"/>
        <v>13</v>
      </c>
      <c r="K540" s="99">
        <v>19</v>
      </c>
      <c r="L540" s="75"/>
    </row>
    <row r="541" spans="1:12" ht="12.75">
      <c r="A541" s="6" t="s">
        <v>23</v>
      </c>
      <c r="B541" s="122">
        <f t="shared" si="43"/>
        <v>110</v>
      </c>
      <c r="C541" s="121">
        <f aca="true" t="shared" si="45" ref="C541:H541">SUM(C522:C540)</f>
        <v>0</v>
      </c>
      <c r="D541" s="119">
        <f t="shared" si="45"/>
        <v>7</v>
      </c>
      <c r="E541" s="119">
        <f t="shared" si="45"/>
        <v>1</v>
      </c>
      <c r="F541" s="119">
        <f t="shared" si="45"/>
        <v>15</v>
      </c>
      <c r="G541" s="119">
        <f t="shared" si="45"/>
        <v>47</v>
      </c>
      <c r="H541" s="119">
        <f t="shared" si="45"/>
        <v>40</v>
      </c>
      <c r="I541" s="39"/>
      <c r="J541" s="119">
        <f>SUM(J522:J540)</f>
        <v>321</v>
      </c>
      <c r="K541" s="122">
        <f>SUM(K522:K540)</f>
        <v>431</v>
      </c>
      <c r="L541" s="30"/>
    </row>
    <row r="542" spans="1:2" ht="12.75">
      <c r="A542" s="19" t="s">
        <v>238</v>
      </c>
      <c r="B542" s="20"/>
    </row>
    <row r="543" spans="1:2" ht="12.75">
      <c r="A543" s="19" t="s">
        <v>239</v>
      </c>
      <c r="B543" s="20"/>
    </row>
    <row r="547" spans="1:10" ht="12.75">
      <c r="A547" s="14" t="s">
        <v>258</v>
      </c>
      <c r="B547" s="14"/>
      <c r="C547" s="11"/>
      <c r="D547" s="11"/>
      <c r="E547" s="11"/>
      <c r="F547" s="11"/>
      <c r="G547" s="11"/>
      <c r="H547" s="11"/>
      <c r="I547" s="129"/>
      <c r="J547" s="14"/>
    </row>
    <row r="548" spans="1:10" ht="12.75">
      <c r="A548" s="16"/>
      <c r="B548" s="16"/>
      <c r="C548" s="11"/>
      <c r="D548" s="11"/>
      <c r="E548" s="11"/>
      <c r="F548" s="11"/>
      <c r="G548" s="11"/>
      <c r="H548" s="11"/>
      <c r="I548" s="129"/>
      <c r="J548" s="16"/>
    </row>
    <row r="549" spans="1:11" ht="12.75">
      <c r="A549" s="123"/>
      <c r="B549" s="120"/>
      <c r="C549" s="283" t="s">
        <v>248</v>
      </c>
      <c r="D549" s="284"/>
      <c r="E549" s="284"/>
      <c r="F549" s="285"/>
      <c r="G549" s="283" t="s">
        <v>237</v>
      </c>
      <c r="H549" s="285"/>
      <c r="I549" s="129"/>
      <c r="J549" s="120"/>
      <c r="K549" s="120"/>
    </row>
    <row r="550" spans="1:11" ht="12.75">
      <c r="A550" s="2"/>
      <c r="B550" s="2"/>
      <c r="C550" s="7" t="s">
        <v>233</v>
      </c>
      <c r="D550" s="5" t="s">
        <v>233</v>
      </c>
      <c r="E550" s="120"/>
      <c r="F550" s="7"/>
      <c r="G550" s="8"/>
      <c r="H550" s="8"/>
      <c r="I550" s="129"/>
      <c r="J550" s="8"/>
      <c r="K550" s="8"/>
    </row>
    <row r="551" spans="1:11" ht="12.75">
      <c r="A551" s="2"/>
      <c r="B551" s="2"/>
      <c r="C551" s="8" t="s">
        <v>234</v>
      </c>
      <c r="D551" s="5" t="s">
        <v>234</v>
      </c>
      <c r="E551" s="98"/>
      <c r="F551" s="8"/>
      <c r="G551" s="8"/>
      <c r="H551" s="8"/>
      <c r="I551" s="129"/>
      <c r="J551" s="8" t="s">
        <v>225</v>
      </c>
      <c r="K551" s="8"/>
    </row>
    <row r="552" spans="1:11" ht="12.75">
      <c r="A552" s="2"/>
      <c r="B552" s="2"/>
      <c r="C552" s="8" t="s">
        <v>231</v>
      </c>
      <c r="D552" s="5" t="s">
        <v>231</v>
      </c>
      <c r="E552" s="8" t="s">
        <v>233</v>
      </c>
      <c r="F552" s="8" t="s">
        <v>233</v>
      </c>
      <c r="G552" s="8" t="s">
        <v>233</v>
      </c>
      <c r="H552" s="8" t="s">
        <v>233</v>
      </c>
      <c r="I552" s="129"/>
      <c r="J552" s="8" t="s">
        <v>48</v>
      </c>
      <c r="K552" s="8" t="s">
        <v>198</v>
      </c>
    </row>
    <row r="553" spans="1:11" ht="12.75">
      <c r="A553" s="2"/>
      <c r="B553" s="2"/>
      <c r="C553" s="8" t="s">
        <v>227</v>
      </c>
      <c r="D553" s="5" t="s">
        <v>232</v>
      </c>
      <c r="E553" s="8" t="s">
        <v>235</v>
      </c>
      <c r="F553" s="8" t="s">
        <v>236</v>
      </c>
      <c r="G553" s="8" t="s">
        <v>235</v>
      </c>
      <c r="H553" s="8" t="s">
        <v>236</v>
      </c>
      <c r="I553" s="129"/>
      <c r="J553" s="8" t="s">
        <v>223</v>
      </c>
      <c r="K553" s="8" t="s">
        <v>205</v>
      </c>
    </row>
    <row r="554" spans="1:11" ht="14.25">
      <c r="A554" s="4"/>
      <c r="B554" s="17" t="s">
        <v>159</v>
      </c>
      <c r="C554" s="9" t="s">
        <v>226</v>
      </c>
      <c r="D554" s="17" t="s">
        <v>226</v>
      </c>
      <c r="E554" s="9" t="s">
        <v>62</v>
      </c>
      <c r="F554" s="9" t="s">
        <v>48</v>
      </c>
      <c r="G554" s="9" t="s">
        <v>62</v>
      </c>
      <c r="H554" s="9" t="s">
        <v>48</v>
      </c>
      <c r="I554" s="129"/>
      <c r="J554" s="9" t="s">
        <v>224</v>
      </c>
      <c r="K554" s="83" t="s">
        <v>259</v>
      </c>
    </row>
    <row r="555" spans="1:12" ht="12.75">
      <c r="A555" s="2" t="s">
        <v>0</v>
      </c>
      <c r="B555" s="124">
        <f>C555+D555+E555+F555+G555+H555</f>
        <v>5</v>
      </c>
      <c r="C555" s="134">
        <v>0</v>
      </c>
      <c r="D555" s="47">
        <v>0</v>
      </c>
      <c r="E555" s="47">
        <v>0</v>
      </c>
      <c r="F555" s="47">
        <v>1</v>
      </c>
      <c r="G555" s="47">
        <v>2</v>
      </c>
      <c r="H555" s="47">
        <v>2</v>
      </c>
      <c r="I555" s="39"/>
      <c r="J555" s="89">
        <f>K555-B555</f>
        <v>13</v>
      </c>
      <c r="K555" s="99">
        <v>18</v>
      </c>
      <c r="L555" s="75"/>
    </row>
    <row r="556" spans="1:12" ht="12.75">
      <c r="A556" s="2" t="s">
        <v>1</v>
      </c>
      <c r="B556" s="124">
        <f aca="true" t="shared" si="46" ref="B556:B574">C556+D556+E556+F556+G556+H556</f>
        <v>3</v>
      </c>
      <c r="C556" s="134">
        <v>0</v>
      </c>
      <c r="D556" s="47">
        <v>0</v>
      </c>
      <c r="E556" s="47">
        <v>0</v>
      </c>
      <c r="F556" s="47">
        <v>0</v>
      </c>
      <c r="G556" s="47">
        <v>0</v>
      </c>
      <c r="H556" s="47">
        <v>3</v>
      </c>
      <c r="I556" s="39"/>
      <c r="J556" s="89">
        <f aca="true" t="shared" si="47" ref="J556:J573">K556-B556</f>
        <v>19</v>
      </c>
      <c r="K556" s="99">
        <v>22</v>
      </c>
      <c r="L556" s="75"/>
    </row>
    <row r="557" spans="1:12" ht="12.75">
      <c r="A557" s="2" t="s">
        <v>2</v>
      </c>
      <c r="B557" s="124">
        <f t="shared" si="46"/>
        <v>0</v>
      </c>
      <c r="C557" s="134">
        <v>0</v>
      </c>
      <c r="D557" s="47">
        <v>0</v>
      </c>
      <c r="E557" s="47">
        <v>0</v>
      </c>
      <c r="F557" s="47">
        <v>0</v>
      </c>
      <c r="G557" s="47">
        <v>0</v>
      </c>
      <c r="H557" s="47">
        <v>0</v>
      </c>
      <c r="I557" s="39"/>
      <c r="J557" s="89">
        <f t="shared" si="47"/>
        <v>1</v>
      </c>
      <c r="K557" s="99">
        <v>1</v>
      </c>
      <c r="L557" s="75"/>
    </row>
    <row r="558" spans="1:12" ht="12.75">
      <c r="A558" s="2" t="s">
        <v>3</v>
      </c>
      <c r="B558" s="124">
        <f t="shared" si="46"/>
        <v>8</v>
      </c>
      <c r="C558" s="134">
        <v>0</v>
      </c>
      <c r="D558" s="47">
        <v>1</v>
      </c>
      <c r="E558" s="47">
        <v>0</v>
      </c>
      <c r="F558" s="47">
        <v>2</v>
      </c>
      <c r="G558" s="47">
        <v>2</v>
      </c>
      <c r="H558" s="47">
        <v>3</v>
      </c>
      <c r="I558" s="39"/>
      <c r="J558" s="89">
        <f t="shared" si="47"/>
        <v>14</v>
      </c>
      <c r="K558" s="99">
        <v>22</v>
      </c>
      <c r="L558" s="75"/>
    </row>
    <row r="559" spans="1:12" ht="12.75">
      <c r="A559" s="2" t="s">
        <v>4</v>
      </c>
      <c r="B559" s="124">
        <f t="shared" si="46"/>
        <v>6</v>
      </c>
      <c r="C559" s="134">
        <v>0</v>
      </c>
      <c r="D559" s="47">
        <v>0</v>
      </c>
      <c r="E559" s="47">
        <v>0</v>
      </c>
      <c r="F559" s="47">
        <v>0</v>
      </c>
      <c r="G559" s="47">
        <v>1</v>
      </c>
      <c r="H559" s="47">
        <v>5</v>
      </c>
      <c r="I559" s="39"/>
      <c r="J559" s="89">
        <f t="shared" si="47"/>
        <v>20</v>
      </c>
      <c r="K559" s="99">
        <v>26</v>
      </c>
      <c r="L559" s="75"/>
    </row>
    <row r="560" spans="1:12" ht="14.25">
      <c r="A560" s="2" t="s">
        <v>230</v>
      </c>
      <c r="B560" s="124">
        <f t="shared" si="46"/>
        <v>5</v>
      </c>
      <c r="C560" s="134">
        <v>0</v>
      </c>
      <c r="D560" s="47">
        <v>0</v>
      </c>
      <c r="E560" s="47">
        <v>0</v>
      </c>
      <c r="F560" s="47">
        <v>1</v>
      </c>
      <c r="G560" s="47">
        <v>1</v>
      </c>
      <c r="H560" s="47">
        <v>3</v>
      </c>
      <c r="I560" s="39"/>
      <c r="J560" s="89">
        <f t="shared" si="47"/>
        <v>15</v>
      </c>
      <c r="K560" s="99">
        <v>20</v>
      </c>
      <c r="L560" s="75"/>
    </row>
    <row r="561" spans="1:12" ht="12.75">
      <c r="A561" s="2" t="s">
        <v>6</v>
      </c>
      <c r="B561" s="124">
        <f t="shared" si="46"/>
        <v>2</v>
      </c>
      <c r="C561" s="134">
        <v>0</v>
      </c>
      <c r="D561" s="47">
        <v>0</v>
      </c>
      <c r="E561" s="47">
        <v>0</v>
      </c>
      <c r="F561" s="47">
        <v>0</v>
      </c>
      <c r="G561" s="47">
        <v>0</v>
      </c>
      <c r="H561" s="47">
        <v>2</v>
      </c>
      <c r="I561" s="39"/>
      <c r="J561" s="89">
        <f t="shared" si="47"/>
        <v>12</v>
      </c>
      <c r="K561" s="99">
        <v>14</v>
      </c>
      <c r="L561" s="75"/>
    </row>
    <row r="562" spans="1:13" s="16" customFormat="1" ht="12.75">
      <c r="A562" s="3" t="s">
        <v>7</v>
      </c>
      <c r="B562" s="124">
        <f t="shared" si="46"/>
        <v>6</v>
      </c>
      <c r="C562" s="134">
        <v>0</v>
      </c>
      <c r="D562" s="47">
        <v>0</v>
      </c>
      <c r="E562" s="47">
        <v>0</v>
      </c>
      <c r="F562" s="47">
        <v>3</v>
      </c>
      <c r="G562" s="47">
        <v>1</v>
      </c>
      <c r="H562" s="47">
        <v>2</v>
      </c>
      <c r="I562" s="39"/>
      <c r="J562" s="89">
        <f t="shared" si="47"/>
        <v>12</v>
      </c>
      <c r="K562" s="99">
        <v>18</v>
      </c>
      <c r="L562" s="75"/>
      <c r="M562"/>
    </row>
    <row r="563" spans="1:13" s="16" customFormat="1" ht="12.75">
      <c r="A563" s="2" t="s">
        <v>8</v>
      </c>
      <c r="B563" s="124">
        <f t="shared" si="46"/>
        <v>1</v>
      </c>
      <c r="C563" s="134">
        <v>0</v>
      </c>
      <c r="D563" s="47">
        <v>0</v>
      </c>
      <c r="E563" s="47">
        <v>0</v>
      </c>
      <c r="F563" s="47">
        <v>0</v>
      </c>
      <c r="G563" s="47">
        <v>0</v>
      </c>
      <c r="H563" s="47">
        <v>1</v>
      </c>
      <c r="I563" s="39"/>
      <c r="J563" s="89">
        <f t="shared" si="47"/>
        <v>14</v>
      </c>
      <c r="K563" s="99">
        <v>15</v>
      </c>
      <c r="L563" s="75"/>
      <c r="M563"/>
    </row>
    <row r="564" spans="1:12" ht="12.75">
      <c r="A564" s="2" t="s">
        <v>9</v>
      </c>
      <c r="B564" s="124">
        <f t="shared" si="46"/>
        <v>3</v>
      </c>
      <c r="C564" s="134">
        <v>0</v>
      </c>
      <c r="D564" s="47">
        <v>0</v>
      </c>
      <c r="E564" s="47">
        <v>0</v>
      </c>
      <c r="F564" s="47">
        <v>0</v>
      </c>
      <c r="G564" s="47">
        <v>0</v>
      </c>
      <c r="H564" s="47">
        <v>3</v>
      </c>
      <c r="I564" s="39"/>
      <c r="J564" s="89">
        <f t="shared" si="47"/>
        <v>12</v>
      </c>
      <c r="K564" s="99">
        <v>15</v>
      </c>
      <c r="L564" s="75"/>
    </row>
    <row r="565" spans="1:12" ht="12.75">
      <c r="A565" s="2" t="s">
        <v>10</v>
      </c>
      <c r="B565" s="124">
        <f t="shared" si="46"/>
        <v>10</v>
      </c>
      <c r="C565" s="134">
        <v>0</v>
      </c>
      <c r="D565" s="47">
        <v>0</v>
      </c>
      <c r="E565" s="47">
        <v>0</v>
      </c>
      <c r="F565" s="47">
        <v>1</v>
      </c>
      <c r="G565" s="47">
        <v>4</v>
      </c>
      <c r="H565" s="47">
        <v>5</v>
      </c>
      <c r="I565" s="39"/>
      <c r="J565" s="89">
        <f t="shared" si="47"/>
        <v>17</v>
      </c>
      <c r="K565" s="99">
        <v>27</v>
      </c>
      <c r="L565" s="75"/>
    </row>
    <row r="566" spans="1:12" ht="12.75">
      <c r="A566" s="3" t="s">
        <v>11</v>
      </c>
      <c r="B566" s="124">
        <f t="shared" si="46"/>
        <v>9</v>
      </c>
      <c r="C566" s="134">
        <v>0</v>
      </c>
      <c r="D566" s="47">
        <v>1</v>
      </c>
      <c r="E566" s="47">
        <v>0</v>
      </c>
      <c r="F566" s="47">
        <v>1</v>
      </c>
      <c r="G566" s="47">
        <v>3</v>
      </c>
      <c r="H566" s="47">
        <v>4</v>
      </c>
      <c r="I566" s="39"/>
      <c r="J566" s="89">
        <f t="shared" si="47"/>
        <v>24</v>
      </c>
      <c r="K566" s="99">
        <v>33</v>
      </c>
      <c r="L566" s="75"/>
    </row>
    <row r="567" spans="1:12" ht="12.75">
      <c r="A567" s="2" t="s">
        <v>12</v>
      </c>
      <c r="B567" s="124">
        <f t="shared" si="46"/>
        <v>8</v>
      </c>
      <c r="C567" s="134">
        <v>0</v>
      </c>
      <c r="D567" s="47">
        <v>0</v>
      </c>
      <c r="E567" s="47">
        <v>0</v>
      </c>
      <c r="F567" s="47">
        <v>1</v>
      </c>
      <c r="G567" s="47">
        <v>3</v>
      </c>
      <c r="H567" s="47">
        <v>4</v>
      </c>
      <c r="I567" s="39"/>
      <c r="J567" s="89">
        <f t="shared" si="47"/>
        <v>18</v>
      </c>
      <c r="K567" s="99">
        <v>26</v>
      </c>
      <c r="L567" s="75"/>
    </row>
    <row r="568" spans="1:12" ht="12.75">
      <c r="A568" s="2" t="s">
        <v>13</v>
      </c>
      <c r="B568" s="124">
        <f t="shared" si="46"/>
        <v>11</v>
      </c>
      <c r="C568" s="134">
        <v>0</v>
      </c>
      <c r="D568" s="47">
        <v>0</v>
      </c>
      <c r="E568" s="47">
        <v>0</v>
      </c>
      <c r="F568" s="47">
        <v>1</v>
      </c>
      <c r="G568" s="47">
        <v>3</v>
      </c>
      <c r="H568" s="47">
        <v>7</v>
      </c>
      <c r="I568" s="39"/>
      <c r="J568" s="89">
        <f t="shared" si="47"/>
        <v>27</v>
      </c>
      <c r="K568" s="99">
        <v>38</v>
      </c>
      <c r="L568" s="75"/>
    </row>
    <row r="569" spans="1:12" ht="12.75">
      <c r="A569" s="2" t="s">
        <v>14</v>
      </c>
      <c r="B569" s="124">
        <f t="shared" si="46"/>
        <v>6</v>
      </c>
      <c r="C569" s="134">
        <v>0</v>
      </c>
      <c r="D569" s="47">
        <v>0</v>
      </c>
      <c r="E569" s="47">
        <v>0</v>
      </c>
      <c r="F569" s="47">
        <v>1</v>
      </c>
      <c r="G569" s="47">
        <v>4</v>
      </c>
      <c r="H569" s="47">
        <v>1</v>
      </c>
      <c r="I569" s="39"/>
      <c r="J569" s="89">
        <f t="shared" si="47"/>
        <v>19</v>
      </c>
      <c r="K569" s="99">
        <v>25</v>
      </c>
      <c r="L569" s="75"/>
    </row>
    <row r="570" spans="1:12" ht="14.25">
      <c r="A570" s="3" t="s">
        <v>229</v>
      </c>
      <c r="B570" s="124">
        <f t="shared" si="46"/>
        <v>6</v>
      </c>
      <c r="C570" s="134">
        <v>0</v>
      </c>
      <c r="D570" s="47">
        <v>2</v>
      </c>
      <c r="E570" s="47">
        <v>1</v>
      </c>
      <c r="F570" s="47">
        <v>0</v>
      </c>
      <c r="G570" s="47">
        <v>3</v>
      </c>
      <c r="H570" s="47">
        <v>0</v>
      </c>
      <c r="I570" s="39"/>
      <c r="J570" s="89">
        <f t="shared" si="47"/>
        <v>17</v>
      </c>
      <c r="K570" s="99">
        <v>23</v>
      </c>
      <c r="L570" s="75"/>
    </row>
    <row r="571" spans="1:12" ht="12.75">
      <c r="A571" s="2" t="s">
        <v>15</v>
      </c>
      <c r="B571" s="124">
        <f t="shared" si="46"/>
        <v>16</v>
      </c>
      <c r="C571" s="134">
        <v>0</v>
      </c>
      <c r="D571" s="47">
        <v>4</v>
      </c>
      <c r="E571" s="47">
        <v>1</v>
      </c>
      <c r="F571" s="47">
        <v>2</v>
      </c>
      <c r="G571" s="47">
        <v>6</v>
      </c>
      <c r="H571" s="47">
        <v>3</v>
      </c>
      <c r="I571" s="39"/>
      <c r="J571" s="89">
        <f t="shared" si="47"/>
        <v>29</v>
      </c>
      <c r="K571" s="99">
        <v>45</v>
      </c>
      <c r="L571" s="75"/>
    </row>
    <row r="572" spans="1:12" ht="12.75">
      <c r="A572" s="2" t="s">
        <v>16</v>
      </c>
      <c r="B572" s="124">
        <f t="shared" si="46"/>
        <v>8</v>
      </c>
      <c r="C572" s="134">
        <v>0</v>
      </c>
      <c r="D572" s="47">
        <v>1</v>
      </c>
      <c r="E572" s="47">
        <v>0</v>
      </c>
      <c r="F572" s="47">
        <v>0</v>
      </c>
      <c r="G572" s="47">
        <v>4</v>
      </c>
      <c r="H572" s="47">
        <v>3</v>
      </c>
      <c r="I572" s="39"/>
      <c r="J572" s="89">
        <f t="shared" si="47"/>
        <v>17</v>
      </c>
      <c r="K572" s="99">
        <v>25</v>
      </c>
      <c r="L572" s="75"/>
    </row>
    <row r="573" spans="1:12" ht="12.75">
      <c r="A573" s="2" t="s">
        <v>17</v>
      </c>
      <c r="B573" s="124">
        <f t="shared" si="46"/>
        <v>6</v>
      </c>
      <c r="C573" s="134">
        <v>0</v>
      </c>
      <c r="D573" s="47">
        <v>2</v>
      </c>
      <c r="E573" s="47">
        <v>0</v>
      </c>
      <c r="F573" s="47">
        <v>0</v>
      </c>
      <c r="G573" s="47">
        <v>4</v>
      </c>
      <c r="H573" s="47">
        <v>0</v>
      </c>
      <c r="I573" s="39"/>
      <c r="J573" s="89">
        <f t="shared" si="47"/>
        <v>13</v>
      </c>
      <c r="K573" s="99">
        <v>19</v>
      </c>
      <c r="L573" s="75"/>
    </row>
    <row r="574" spans="1:12" ht="12.75">
      <c r="A574" s="6" t="s">
        <v>23</v>
      </c>
      <c r="B574" s="122">
        <f t="shared" si="46"/>
        <v>119</v>
      </c>
      <c r="C574" s="121">
        <f aca="true" t="shared" si="48" ref="C574:H574">SUM(C555:C573)</f>
        <v>0</v>
      </c>
      <c r="D574" s="119">
        <f t="shared" si="48"/>
        <v>11</v>
      </c>
      <c r="E574" s="119">
        <f t="shared" si="48"/>
        <v>2</v>
      </c>
      <c r="F574" s="119">
        <f t="shared" si="48"/>
        <v>14</v>
      </c>
      <c r="G574" s="119">
        <f t="shared" si="48"/>
        <v>41</v>
      </c>
      <c r="H574" s="119">
        <f t="shared" si="48"/>
        <v>51</v>
      </c>
      <c r="I574" s="39"/>
      <c r="J574" s="119">
        <f>SUM(J555:J573)</f>
        <v>313</v>
      </c>
      <c r="K574" s="122">
        <f>SUM(K555:K573)</f>
        <v>432</v>
      </c>
      <c r="L574" s="30"/>
    </row>
    <row r="575" spans="1:2" ht="12.75">
      <c r="A575" s="19" t="s">
        <v>238</v>
      </c>
      <c r="B575" s="20"/>
    </row>
    <row r="576" spans="1:2" ht="12.75">
      <c r="A576" s="19" t="s">
        <v>239</v>
      </c>
      <c r="B576" s="20"/>
    </row>
    <row r="577" spans="1:2" ht="12.75">
      <c r="A577" s="20"/>
      <c r="B577" s="20"/>
    </row>
    <row r="578" spans="1:2" ht="12.75">
      <c r="A578" s="20"/>
      <c r="B578" s="20"/>
    </row>
    <row r="579" spans="1:10" ht="12.75">
      <c r="A579" s="14"/>
      <c r="B579" s="14"/>
      <c r="C579" s="11"/>
      <c r="D579" s="11"/>
      <c r="E579" s="11"/>
      <c r="F579" s="11"/>
      <c r="G579" s="11"/>
      <c r="H579" s="11"/>
      <c r="I579" s="129"/>
      <c r="J579" s="14"/>
    </row>
    <row r="580" spans="1:10" ht="12.75">
      <c r="A580" s="14" t="s">
        <v>252</v>
      </c>
      <c r="B580" s="14"/>
      <c r="C580" s="11"/>
      <c r="D580" s="11"/>
      <c r="E580" s="11"/>
      <c r="F580" s="11"/>
      <c r="G580" s="11"/>
      <c r="H580" s="11"/>
      <c r="I580" s="129"/>
      <c r="J580" s="14"/>
    </row>
    <row r="581" spans="1:10" ht="12.75">
      <c r="A581" s="16"/>
      <c r="B581" s="16"/>
      <c r="C581" s="11"/>
      <c r="D581" s="11"/>
      <c r="E581" s="11"/>
      <c r="F581" s="11"/>
      <c r="G581" s="11"/>
      <c r="H581" s="11"/>
      <c r="I581" s="129"/>
      <c r="J581" s="16"/>
    </row>
    <row r="582" spans="1:11" ht="12.75">
      <c r="A582" s="123"/>
      <c r="B582" s="120"/>
      <c r="C582" s="283" t="s">
        <v>248</v>
      </c>
      <c r="D582" s="284"/>
      <c r="E582" s="284"/>
      <c r="F582" s="285"/>
      <c r="G582" s="283" t="s">
        <v>237</v>
      </c>
      <c r="H582" s="285"/>
      <c r="I582" s="129"/>
      <c r="J582" s="120"/>
      <c r="K582" s="120"/>
    </row>
    <row r="583" spans="1:11" ht="12.75">
      <c r="A583" s="2"/>
      <c r="B583" s="2"/>
      <c r="C583" s="7" t="s">
        <v>233</v>
      </c>
      <c r="D583" s="5" t="s">
        <v>233</v>
      </c>
      <c r="E583" s="120"/>
      <c r="F583" s="7"/>
      <c r="G583" s="8"/>
      <c r="H583" s="8"/>
      <c r="I583" s="129"/>
      <c r="J583" s="8"/>
      <c r="K583" s="8"/>
    </row>
    <row r="584" spans="1:11" ht="12.75">
      <c r="A584" s="2"/>
      <c r="B584" s="2"/>
      <c r="C584" s="8" t="s">
        <v>234</v>
      </c>
      <c r="D584" s="5" t="s">
        <v>234</v>
      </c>
      <c r="E584" s="98"/>
      <c r="F584" s="8"/>
      <c r="G584" s="8"/>
      <c r="H584" s="8"/>
      <c r="I584" s="129"/>
      <c r="J584" s="8" t="s">
        <v>225</v>
      </c>
      <c r="K584" s="8"/>
    </row>
    <row r="585" spans="1:11" ht="12.75">
      <c r="A585" s="2"/>
      <c r="B585" s="2"/>
      <c r="C585" s="8" t="s">
        <v>231</v>
      </c>
      <c r="D585" s="5" t="s">
        <v>231</v>
      </c>
      <c r="E585" s="8" t="s">
        <v>233</v>
      </c>
      <c r="F585" s="8" t="s">
        <v>233</v>
      </c>
      <c r="G585" s="8" t="s">
        <v>233</v>
      </c>
      <c r="H585" s="8" t="s">
        <v>233</v>
      </c>
      <c r="I585" s="129"/>
      <c r="J585" s="8" t="s">
        <v>48</v>
      </c>
      <c r="K585" s="8" t="s">
        <v>198</v>
      </c>
    </row>
    <row r="586" spans="1:11" ht="12.75">
      <c r="A586" s="2"/>
      <c r="B586" s="2"/>
      <c r="C586" s="8" t="s">
        <v>227</v>
      </c>
      <c r="D586" s="5" t="s">
        <v>232</v>
      </c>
      <c r="E586" s="8" t="s">
        <v>235</v>
      </c>
      <c r="F586" s="8" t="s">
        <v>236</v>
      </c>
      <c r="G586" s="8" t="s">
        <v>235</v>
      </c>
      <c r="H586" s="8" t="s">
        <v>236</v>
      </c>
      <c r="I586" s="129"/>
      <c r="J586" s="8" t="s">
        <v>223</v>
      </c>
      <c r="K586" s="8" t="s">
        <v>205</v>
      </c>
    </row>
    <row r="587" spans="1:11" ht="14.25">
      <c r="A587" s="4"/>
      <c r="B587" s="17" t="s">
        <v>159</v>
      </c>
      <c r="C587" s="9" t="s">
        <v>226</v>
      </c>
      <c r="D587" s="17" t="s">
        <v>226</v>
      </c>
      <c r="E587" s="9" t="s">
        <v>62</v>
      </c>
      <c r="F587" s="9" t="s">
        <v>48</v>
      </c>
      <c r="G587" s="9" t="s">
        <v>62</v>
      </c>
      <c r="H587" s="9" t="s">
        <v>48</v>
      </c>
      <c r="I587" s="129"/>
      <c r="J587" s="9" t="s">
        <v>224</v>
      </c>
      <c r="K587" s="83" t="s">
        <v>259</v>
      </c>
    </row>
    <row r="588" spans="1:12" ht="12.75">
      <c r="A588" s="2" t="s">
        <v>0</v>
      </c>
      <c r="B588" s="124">
        <f>C588+D588+E588+F588+G588+H588</f>
        <v>7</v>
      </c>
      <c r="C588" s="134">
        <v>0</v>
      </c>
      <c r="D588" s="47">
        <v>0</v>
      </c>
      <c r="E588" s="47">
        <v>0</v>
      </c>
      <c r="F588" s="47">
        <v>0</v>
      </c>
      <c r="G588" s="47">
        <v>2</v>
      </c>
      <c r="H588" s="47">
        <v>5</v>
      </c>
      <c r="I588" s="39"/>
      <c r="J588" s="48">
        <v>11</v>
      </c>
      <c r="K588" s="124">
        <f>B588+J588</f>
        <v>18</v>
      </c>
      <c r="L588" s="75"/>
    </row>
    <row r="589" spans="1:12" ht="12.75">
      <c r="A589" s="2" t="s">
        <v>1</v>
      </c>
      <c r="B589" s="124">
        <f aca="true" t="shared" si="49" ref="B589:B607">C589+D589+E589+F589+G589+H589</f>
        <v>4</v>
      </c>
      <c r="C589" s="134">
        <v>0</v>
      </c>
      <c r="D589" s="47">
        <v>0</v>
      </c>
      <c r="E589" s="47">
        <v>0</v>
      </c>
      <c r="F589" s="47">
        <v>2</v>
      </c>
      <c r="G589" s="47">
        <v>0</v>
      </c>
      <c r="H589" s="47">
        <v>2</v>
      </c>
      <c r="I589" s="39"/>
      <c r="J589" s="48">
        <v>18</v>
      </c>
      <c r="K589" s="124">
        <f aca="true" t="shared" si="50" ref="K589:K607">B589+J589</f>
        <v>22</v>
      </c>
      <c r="L589" s="75"/>
    </row>
    <row r="590" spans="1:12" ht="12.75">
      <c r="A590" s="2" t="s">
        <v>2</v>
      </c>
      <c r="B590" s="124">
        <f t="shared" si="49"/>
        <v>0</v>
      </c>
      <c r="C590" s="134">
        <v>0</v>
      </c>
      <c r="D590" s="47">
        <v>0</v>
      </c>
      <c r="E590" s="47">
        <v>0</v>
      </c>
      <c r="F590" s="47">
        <v>0</v>
      </c>
      <c r="G590" s="47">
        <v>0</v>
      </c>
      <c r="H590" s="47">
        <v>0</v>
      </c>
      <c r="I590" s="39"/>
      <c r="J590" s="48">
        <v>1</v>
      </c>
      <c r="K590" s="124">
        <f t="shared" si="50"/>
        <v>1</v>
      </c>
      <c r="L590" s="75"/>
    </row>
    <row r="591" spans="1:12" ht="12.75">
      <c r="A591" s="2" t="s">
        <v>3</v>
      </c>
      <c r="B591" s="124">
        <f t="shared" si="49"/>
        <v>9</v>
      </c>
      <c r="C591" s="134">
        <v>0</v>
      </c>
      <c r="D591" s="47">
        <v>1</v>
      </c>
      <c r="E591" s="47">
        <v>0</v>
      </c>
      <c r="F591" s="47">
        <v>3</v>
      </c>
      <c r="G591" s="47">
        <v>1</v>
      </c>
      <c r="H591" s="47">
        <v>4</v>
      </c>
      <c r="I591" s="39"/>
      <c r="J591" s="48">
        <v>13</v>
      </c>
      <c r="K591" s="124">
        <f t="shared" si="50"/>
        <v>22</v>
      </c>
      <c r="L591" s="75"/>
    </row>
    <row r="592" spans="1:12" ht="12.75">
      <c r="A592" s="2" t="s">
        <v>4</v>
      </c>
      <c r="B592" s="124">
        <f t="shared" si="49"/>
        <v>9</v>
      </c>
      <c r="C592" s="134">
        <v>0</v>
      </c>
      <c r="D592" s="47">
        <v>0</v>
      </c>
      <c r="E592" s="47">
        <v>0</v>
      </c>
      <c r="F592" s="47">
        <v>1</v>
      </c>
      <c r="G592" s="47">
        <v>1</v>
      </c>
      <c r="H592" s="47">
        <v>7</v>
      </c>
      <c r="I592" s="39"/>
      <c r="J592" s="48">
        <v>17</v>
      </c>
      <c r="K592" s="124">
        <f t="shared" si="50"/>
        <v>26</v>
      </c>
      <c r="L592" s="75"/>
    </row>
    <row r="593" spans="1:12" ht="14.25">
      <c r="A593" s="2" t="s">
        <v>230</v>
      </c>
      <c r="B593" s="124">
        <f t="shared" si="49"/>
        <v>3</v>
      </c>
      <c r="C593" s="134">
        <v>0</v>
      </c>
      <c r="D593" s="47">
        <v>0</v>
      </c>
      <c r="E593" s="47">
        <v>0</v>
      </c>
      <c r="F593" s="47">
        <v>1</v>
      </c>
      <c r="G593" s="47">
        <v>1</v>
      </c>
      <c r="H593" s="47">
        <v>1</v>
      </c>
      <c r="I593" s="39"/>
      <c r="J593" s="48">
        <v>17</v>
      </c>
      <c r="K593" s="124">
        <f t="shared" si="50"/>
        <v>20</v>
      </c>
      <c r="L593" s="75"/>
    </row>
    <row r="594" spans="1:12" ht="12.75">
      <c r="A594" s="2" t="s">
        <v>6</v>
      </c>
      <c r="B594" s="124">
        <f t="shared" si="49"/>
        <v>0</v>
      </c>
      <c r="C594" s="134">
        <v>0</v>
      </c>
      <c r="D594" s="47">
        <v>0</v>
      </c>
      <c r="E594" s="47">
        <v>0</v>
      </c>
      <c r="F594" s="47">
        <v>0</v>
      </c>
      <c r="G594" s="47">
        <v>0</v>
      </c>
      <c r="H594" s="47">
        <v>0</v>
      </c>
      <c r="I594" s="39"/>
      <c r="J594" s="48">
        <v>14</v>
      </c>
      <c r="K594" s="124">
        <f t="shared" si="50"/>
        <v>14</v>
      </c>
      <c r="L594" s="75"/>
    </row>
    <row r="595" spans="1:14" s="16" customFormat="1" ht="12.75">
      <c r="A595" s="3" t="s">
        <v>7</v>
      </c>
      <c r="B595" s="124">
        <f t="shared" si="49"/>
        <v>5</v>
      </c>
      <c r="C595" s="134">
        <v>0</v>
      </c>
      <c r="D595" s="47">
        <v>0</v>
      </c>
      <c r="E595" s="47">
        <v>0</v>
      </c>
      <c r="F595" s="47">
        <v>3</v>
      </c>
      <c r="G595" s="47">
        <v>1</v>
      </c>
      <c r="H595" s="47">
        <v>1</v>
      </c>
      <c r="I595" s="39"/>
      <c r="J595" s="48">
        <v>13</v>
      </c>
      <c r="K595" s="124">
        <f t="shared" si="50"/>
        <v>18</v>
      </c>
      <c r="L595" s="75"/>
      <c r="M595"/>
      <c r="N595"/>
    </row>
    <row r="596" spans="1:14" s="16" customFormat="1" ht="12.75">
      <c r="A596" s="2" t="s">
        <v>8</v>
      </c>
      <c r="B596" s="124">
        <f t="shared" si="49"/>
        <v>1</v>
      </c>
      <c r="C596" s="134">
        <v>0</v>
      </c>
      <c r="D596" s="47">
        <v>0</v>
      </c>
      <c r="E596" s="47">
        <v>0</v>
      </c>
      <c r="F596" s="47">
        <v>0</v>
      </c>
      <c r="G596" s="47">
        <v>0</v>
      </c>
      <c r="H596" s="47">
        <v>1</v>
      </c>
      <c r="I596" s="39"/>
      <c r="J596" s="48">
        <v>14</v>
      </c>
      <c r="K596" s="124">
        <f t="shared" si="50"/>
        <v>15</v>
      </c>
      <c r="L596" s="75"/>
      <c r="M596"/>
      <c r="N596"/>
    </row>
    <row r="597" spans="1:12" ht="12.75">
      <c r="A597" s="2" t="s">
        <v>9</v>
      </c>
      <c r="B597" s="124">
        <f t="shared" si="49"/>
        <v>3</v>
      </c>
      <c r="C597" s="134">
        <v>0</v>
      </c>
      <c r="D597" s="47">
        <v>0</v>
      </c>
      <c r="E597" s="47">
        <v>0</v>
      </c>
      <c r="F597" s="47">
        <v>0</v>
      </c>
      <c r="G597" s="47">
        <v>0</v>
      </c>
      <c r="H597" s="47">
        <v>3</v>
      </c>
      <c r="I597" s="39"/>
      <c r="J597" s="48">
        <v>12</v>
      </c>
      <c r="K597" s="124">
        <f t="shared" si="50"/>
        <v>15</v>
      </c>
      <c r="L597" s="75"/>
    </row>
    <row r="598" spans="1:12" ht="12.75">
      <c r="A598" s="2" t="s">
        <v>10</v>
      </c>
      <c r="B598" s="124">
        <f t="shared" si="49"/>
        <v>9</v>
      </c>
      <c r="C598" s="134">
        <v>0</v>
      </c>
      <c r="D598" s="47">
        <v>1</v>
      </c>
      <c r="E598" s="47">
        <v>0</v>
      </c>
      <c r="F598" s="47">
        <v>0</v>
      </c>
      <c r="G598" s="47">
        <v>3</v>
      </c>
      <c r="H598" s="47">
        <v>5</v>
      </c>
      <c r="I598" s="39"/>
      <c r="J598" s="48">
        <v>18</v>
      </c>
      <c r="K598" s="124">
        <f t="shared" si="50"/>
        <v>27</v>
      </c>
      <c r="L598" s="75"/>
    </row>
    <row r="599" spans="1:12" ht="12.75">
      <c r="A599" s="3" t="s">
        <v>11</v>
      </c>
      <c r="B599" s="124">
        <f t="shared" si="49"/>
        <v>8</v>
      </c>
      <c r="C599" s="134">
        <v>0</v>
      </c>
      <c r="D599" s="47">
        <v>0</v>
      </c>
      <c r="E599" s="47">
        <v>0</v>
      </c>
      <c r="F599" s="47">
        <v>0</v>
      </c>
      <c r="G599" s="47">
        <v>3</v>
      </c>
      <c r="H599" s="47">
        <v>5</v>
      </c>
      <c r="I599" s="39"/>
      <c r="J599" s="48">
        <v>25</v>
      </c>
      <c r="K599" s="124">
        <f t="shared" si="50"/>
        <v>33</v>
      </c>
      <c r="L599" s="75"/>
    </row>
    <row r="600" spans="1:12" ht="12.75">
      <c r="A600" s="2" t="s">
        <v>12</v>
      </c>
      <c r="B600" s="124">
        <f t="shared" si="49"/>
        <v>10</v>
      </c>
      <c r="C600" s="134">
        <v>0</v>
      </c>
      <c r="D600" s="47">
        <v>0</v>
      </c>
      <c r="E600" s="47">
        <v>0</v>
      </c>
      <c r="F600" s="47">
        <v>3</v>
      </c>
      <c r="G600" s="47">
        <v>3</v>
      </c>
      <c r="H600" s="47">
        <v>4</v>
      </c>
      <c r="I600" s="39"/>
      <c r="J600" s="48">
        <v>16</v>
      </c>
      <c r="K600" s="124">
        <f t="shared" si="50"/>
        <v>26</v>
      </c>
      <c r="L600" s="75"/>
    </row>
    <row r="601" spans="1:12" ht="12.75">
      <c r="A601" s="2" t="s">
        <v>13</v>
      </c>
      <c r="B601" s="124">
        <f t="shared" si="49"/>
        <v>13</v>
      </c>
      <c r="C601" s="134">
        <v>0</v>
      </c>
      <c r="D601" s="47">
        <v>0</v>
      </c>
      <c r="E601" s="47">
        <v>1</v>
      </c>
      <c r="F601" s="47">
        <v>3</v>
      </c>
      <c r="G601" s="47">
        <v>2</v>
      </c>
      <c r="H601" s="47">
        <v>7</v>
      </c>
      <c r="I601" s="39"/>
      <c r="J601" s="48">
        <v>25</v>
      </c>
      <c r="K601" s="124">
        <f t="shared" si="50"/>
        <v>38</v>
      </c>
      <c r="L601" s="75"/>
    </row>
    <row r="602" spans="1:12" ht="12.75">
      <c r="A602" s="2" t="s">
        <v>14</v>
      </c>
      <c r="B602" s="124">
        <f t="shared" si="49"/>
        <v>9</v>
      </c>
      <c r="C602" s="134">
        <v>0</v>
      </c>
      <c r="D602" s="47">
        <v>0</v>
      </c>
      <c r="E602" s="47">
        <v>0</v>
      </c>
      <c r="F602" s="47">
        <v>2</v>
      </c>
      <c r="G602" s="47">
        <v>4</v>
      </c>
      <c r="H602" s="47">
        <v>3</v>
      </c>
      <c r="I602" s="39"/>
      <c r="J602" s="48">
        <v>16</v>
      </c>
      <c r="K602" s="124">
        <f t="shared" si="50"/>
        <v>25</v>
      </c>
      <c r="L602" s="75"/>
    </row>
    <row r="603" spans="1:12" ht="14.25">
      <c r="A603" s="3" t="s">
        <v>229</v>
      </c>
      <c r="B603" s="124">
        <f t="shared" si="49"/>
        <v>8</v>
      </c>
      <c r="C603" s="134">
        <v>0</v>
      </c>
      <c r="D603" s="47">
        <v>2</v>
      </c>
      <c r="E603" s="47">
        <v>0</v>
      </c>
      <c r="F603" s="47">
        <v>0</v>
      </c>
      <c r="G603" s="47">
        <v>4</v>
      </c>
      <c r="H603" s="47">
        <v>2</v>
      </c>
      <c r="I603" s="39"/>
      <c r="J603" s="48">
        <v>15</v>
      </c>
      <c r="K603" s="124">
        <f t="shared" si="50"/>
        <v>23</v>
      </c>
      <c r="L603" s="75"/>
    </row>
    <row r="604" spans="1:12" ht="12.75">
      <c r="A604" s="2" t="s">
        <v>15</v>
      </c>
      <c r="B604" s="124">
        <f t="shared" si="49"/>
        <v>16</v>
      </c>
      <c r="C604" s="134">
        <v>1</v>
      </c>
      <c r="D604" s="47">
        <v>2</v>
      </c>
      <c r="E604" s="47">
        <v>1</v>
      </c>
      <c r="F604" s="47">
        <v>1</v>
      </c>
      <c r="G604" s="47">
        <v>9</v>
      </c>
      <c r="H604" s="47">
        <v>2</v>
      </c>
      <c r="I604" s="39"/>
      <c r="J604" s="48">
        <v>29</v>
      </c>
      <c r="K604" s="124">
        <f t="shared" si="50"/>
        <v>45</v>
      </c>
      <c r="L604" s="75"/>
    </row>
    <row r="605" spans="1:12" ht="12.75">
      <c r="A605" s="2" t="s">
        <v>16</v>
      </c>
      <c r="B605" s="124">
        <f t="shared" si="49"/>
        <v>8</v>
      </c>
      <c r="C605" s="134">
        <v>0</v>
      </c>
      <c r="D605" s="47">
        <v>1</v>
      </c>
      <c r="E605" s="47">
        <v>0</v>
      </c>
      <c r="F605" s="47">
        <v>0</v>
      </c>
      <c r="G605" s="47">
        <v>5</v>
      </c>
      <c r="H605" s="47">
        <v>2</v>
      </c>
      <c r="I605" s="39"/>
      <c r="J605" s="48">
        <v>17</v>
      </c>
      <c r="K605" s="124">
        <f t="shared" si="50"/>
        <v>25</v>
      </c>
      <c r="L605" s="75"/>
    </row>
    <row r="606" spans="1:12" ht="12.75">
      <c r="A606" s="2" t="s">
        <v>17</v>
      </c>
      <c r="B606" s="124">
        <f t="shared" si="49"/>
        <v>4</v>
      </c>
      <c r="C606" s="134">
        <v>0</v>
      </c>
      <c r="D606" s="47">
        <v>1</v>
      </c>
      <c r="E606" s="47">
        <v>0</v>
      </c>
      <c r="F606" s="47">
        <v>0</v>
      </c>
      <c r="G606" s="47">
        <v>2</v>
      </c>
      <c r="H606" s="47">
        <v>1</v>
      </c>
      <c r="I606" s="39"/>
      <c r="J606" s="48">
        <v>15</v>
      </c>
      <c r="K606" s="124">
        <f t="shared" si="50"/>
        <v>19</v>
      </c>
      <c r="L606" s="75"/>
    </row>
    <row r="607" spans="1:12" ht="12.75">
      <c r="A607" s="6" t="s">
        <v>23</v>
      </c>
      <c r="B607" s="122">
        <f t="shared" si="49"/>
        <v>126</v>
      </c>
      <c r="C607" s="121">
        <f aca="true" t="shared" si="51" ref="C607:H607">SUM(C588:C606)</f>
        <v>1</v>
      </c>
      <c r="D607" s="119">
        <f t="shared" si="51"/>
        <v>8</v>
      </c>
      <c r="E607" s="119">
        <f t="shared" si="51"/>
        <v>2</v>
      </c>
      <c r="F607" s="119">
        <f t="shared" si="51"/>
        <v>19</v>
      </c>
      <c r="G607" s="119">
        <f t="shared" si="51"/>
        <v>41</v>
      </c>
      <c r="H607" s="119">
        <f t="shared" si="51"/>
        <v>55</v>
      </c>
      <c r="I607" s="39"/>
      <c r="J607" s="119">
        <f>SUM(J588:J606)</f>
        <v>306</v>
      </c>
      <c r="K607" s="122">
        <f t="shared" si="50"/>
        <v>432</v>
      </c>
      <c r="L607" s="30"/>
    </row>
    <row r="608" spans="1:2" ht="12.75">
      <c r="A608" s="19" t="s">
        <v>238</v>
      </c>
      <c r="B608" s="20"/>
    </row>
    <row r="609" spans="1:2" ht="12.75">
      <c r="A609" s="19" t="s">
        <v>239</v>
      </c>
      <c r="B609" s="20"/>
    </row>
    <row r="610" spans="1:2" ht="12.75">
      <c r="A610" s="20"/>
      <c r="B610" s="20"/>
    </row>
    <row r="611" spans="1:2" ht="12.75">
      <c r="A611" s="20"/>
      <c r="B611" s="20"/>
    </row>
    <row r="612" spans="1:2" ht="12.75">
      <c r="A612" s="20"/>
      <c r="B612" s="20"/>
    </row>
    <row r="613" spans="1:10" ht="12.75">
      <c r="A613" s="14" t="s">
        <v>250</v>
      </c>
      <c r="B613" s="14"/>
      <c r="C613" s="11"/>
      <c r="D613" s="11"/>
      <c r="E613" s="11"/>
      <c r="F613" s="11"/>
      <c r="G613" s="11"/>
      <c r="H613" s="11"/>
      <c r="I613" s="129"/>
      <c r="J613" s="14"/>
    </row>
    <row r="614" spans="1:10" ht="12.75">
      <c r="A614" s="16"/>
      <c r="B614" s="16"/>
      <c r="C614" s="11"/>
      <c r="D614" s="11"/>
      <c r="E614" s="11"/>
      <c r="F614" s="11"/>
      <c r="G614" s="11"/>
      <c r="H614" s="11"/>
      <c r="I614" s="129"/>
      <c r="J614" s="16"/>
    </row>
    <row r="615" spans="1:11" ht="12.75">
      <c r="A615" s="123"/>
      <c r="B615" s="120"/>
      <c r="C615" s="283" t="s">
        <v>248</v>
      </c>
      <c r="D615" s="284"/>
      <c r="E615" s="284"/>
      <c r="F615" s="285"/>
      <c r="G615" s="283" t="s">
        <v>237</v>
      </c>
      <c r="H615" s="285"/>
      <c r="I615" s="129"/>
      <c r="J615" s="120"/>
      <c r="K615" s="120"/>
    </row>
    <row r="616" spans="1:11" ht="12.75">
      <c r="A616" s="2"/>
      <c r="B616" s="2"/>
      <c r="C616" s="7" t="s">
        <v>233</v>
      </c>
      <c r="D616" s="5" t="s">
        <v>233</v>
      </c>
      <c r="E616" s="120"/>
      <c r="F616" s="7"/>
      <c r="G616" s="8"/>
      <c r="H616" s="8"/>
      <c r="I616" s="129"/>
      <c r="J616" s="8"/>
      <c r="K616" s="8"/>
    </row>
    <row r="617" spans="1:11" ht="12.75">
      <c r="A617" s="2"/>
      <c r="B617" s="2"/>
      <c r="C617" s="8" t="s">
        <v>234</v>
      </c>
      <c r="D617" s="5" t="s">
        <v>234</v>
      </c>
      <c r="E617" s="98"/>
      <c r="F617" s="8"/>
      <c r="G617" s="8"/>
      <c r="H617" s="8"/>
      <c r="I617" s="129"/>
      <c r="J617" s="8" t="s">
        <v>225</v>
      </c>
      <c r="K617" s="8"/>
    </row>
    <row r="618" spans="1:11" ht="12.75">
      <c r="A618" s="2"/>
      <c r="B618" s="2"/>
      <c r="C618" s="8" t="s">
        <v>231</v>
      </c>
      <c r="D618" s="5" t="s">
        <v>231</v>
      </c>
      <c r="E618" s="8" t="s">
        <v>233</v>
      </c>
      <c r="F618" s="8" t="s">
        <v>233</v>
      </c>
      <c r="G618" s="8" t="s">
        <v>233</v>
      </c>
      <c r="H618" s="8" t="s">
        <v>233</v>
      </c>
      <c r="I618" s="129"/>
      <c r="J618" s="8" t="s">
        <v>48</v>
      </c>
      <c r="K618" s="8" t="s">
        <v>198</v>
      </c>
    </row>
    <row r="619" spans="1:11" ht="12.75">
      <c r="A619" s="2"/>
      <c r="B619" s="2"/>
      <c r="C619" s="8" t="s">
        <v>227</v>
      </c>
      <c r="D619" s="5" t="s">
        <v>232</v>
      </c>
      <c r="E619" s="8" t="s">
        <v>235</v>
      </c>
      <c r="F619" s="8" t="s">
        <v>236</v>
      </c>
      <c r="G619" s="8" t="s">
        <v>235</v>
      </c>
      <c r="H619" s="8" t="s">
        <v>236</v>
      </c>
      <c r="I619" s="129"/>
      <c r="J619" s="8" t="s">
        <v>223</v>
      </c>
      <c r="K619" s="8" t="s">
        <v>205</v>
      </c>
    </row>
    <row r="620" spans="1:11" ht="14.25">
      <c r="A620" s="4"/>
      <c r="B620" s="17" t="s">
        <v>159</v>
      </c>
      <c r="C620" s="9" t="s">
        <v>226</v>
      </c>
      <c r="D620" s="17" t="s">
        <v>226</v>
      </c>
      <c r="E620" s="9" t="s">
        <v>62</v>
      </c>
      <c r="F620" s="9" t="s">
        <v>48</v>
      </c>
      <c r="G620" s="9" t="s">
        <v>62</v>
      </c>
      <c r="H620" s="9" t="s">
        <v>48</v>
      </c>
      <c r="I620" s="129"/>
      <c r="J620" s="9" t="s">
        <v>224</v>
      </c>
      <c r="K620" s="83" t="s">
        <v>259</v>
      </c>
    </row>
    <row r="621" spans="1:12" ht="12.75">
      <c r="A621" s="2" t="s">
        <v>0</v>
      </c>
      <c r="B621" s="124">
        <f>C621+D621+E621+F621+G621+H621</f>
        <v>4</v>
      </c>
      <c r="C621" s="134">
        <v>0</v>
      </c>
      <c r="D621" s="47">
        <v>0</v>
      </c>
      <c r="E621" s="47">
        <v>0</v>
      </c>
      <c r="F621" s="47">
        <v>1</v>
      </c>
      <c r="G621" s="47">
        <v>2</v>
      </c>
      <c r="H621" s="47">
        <v>1</v>
      </c>
      <c r="I621" s="39"/>
      <c r="J621" s="48">
        <v>14</v>
      </c>
      <c r="K621" s="124">
        <f>B621+J621</f>
        <v>18</v>
      </c>
      <c r="L621" s="75"/>
    </row>
    <row r="622" spans="1:12" ht="12.75">
      <c r="A622" s="2" t="s">
        <v>1</v>
      </c>
      <c r="B622" s="124">
        <f aca="true" t="shared" si="52" ref="B622:B640">C622+D622+E622+F622+G622+H622</f>
        <v>2</v>
      </c>
      <c r="C622" s="134">
        <v>0</v>
      </c>
      <c r="D622" s="47">
        <v>0</v>
      </c>
      <c r="E622" s="47">
        <v>0</v>
      </c>
      <c r="F622" s="47">
        <v>0</v>
      </c>
      <c r="G622" s="47">
        <v>0</v>
      </c>
      <c r="H622" s="47">
        <v>2</v>
      </c>
      <c r="I622" s="39"/>
      <c r="J622" s="48">
        <v>20</v>
      </c>
      <c r="K622" s="124">
        <f aca="true" t="shared" si="53" ref="K622:K640">B622+J622</f>
        <v>22</v>
      </c>
      <c r="L622" s="75"/>
    </row>
    <row r="623" spans="1:12" ht="12.75">
      <c r="A623" s="2" t="s">
        <v>2</v>
      </c>
      <c r="B623" s="124">
        <f t="shared" si="52"/>
        <v>0</v>
      </c>
      <c r="C623" s="134">
        <v>0</v>
      </c>
      <c r="D623" s="47">
        <v>0</v>
      </c>
      <c r="E623" s="47">
        <v>0</v>
      </c>
      <c r="F623" s="47">
        <v>0</v>
      </c>
      <c r="G623" s="47">
        <v>0</v>
      </c>
      <c r="H623" s="47">
        <v>0</v>
      </c>
      <c r="I623" s="39"/>
      <c r="J623" s="48">
        <v>1</v>
      </c>
      <c r="K623" s="124">
        <f t="shared" si="53"/>
        <v>1</v>
      </c>
      <c r="L623" s="75"/>
    </row>
    <row r="624" spans="1:12" ht="12.75">
      <c r="A624" s="2" t="s">
        <v>3</v>
      </c>
      <c r="B624" s="124">
        <f t="shared" si="52"/>
        <v>8</v>
      </c>
      <c r="C624" s="134">
        <v>0</v>
      </c>
      <c r="D624" s="47">
        <v>1</v>
      </c>
      <c r="E624" s="47">
        <v>1</v>
      </c>
      <c r="F624" s="47">
        <v>3</v>
      </c>
      <c r="G624" s="47">
        <v>1</v>
      </c>
      <c r="H624" s="47">
        <v>2</v>
      </c>
      <c r="I624" s="39"/>
      <c r="J624" s="48">
        <v>14</v>
      </c>
      <c r="K624" s="124">
        <f t="shared" si="53"/>
        <v>22</v>
      </c>
      <c r="L624" s="75"/>
    </row>
    <row r="625" spans="1:12" ht="12.75">
      <c r="A625" s="2" t="s">
        <v>4</v>
      </c>
      <c r="B625" s="124">
        <f t="shared" si="52"/>
        <v>5</v>
      </c>
      <c r="C625" s="134">
        <v>0</v>
      </c>
      <c r="D625" s="47">
        <v>0</v>
      </c>
      <c r="E625" s="47">
        <v>0</v>
      </c>
      <c r="F625" s="47">
        <v>2</v>
      </c>
      <c r="G625" s="47">
        <v>0</v>
      </c>
      <c r="H625" s="47">
        <v>3</v>
      </c>
      <c r="I625" s="39"/>
      <c r="J625" s="48">
        <v>21</v>
      </c>
      <c r="K625" s="124">
        <f t="shared" si="53"/>
        <v>26</v>
      </c>
      <c r="L625" s="75"/>
    </row>
    <row r="626" spans="1:12" ht="14.25">
      <c r="A626" s="2" t="s">
        <v>230</v>
      </c>
      <c r="B626" s="124">
        <f t="shared" si="52"/>
        <v>5</v>
      </c>
      <c r="C626" s="134">
        <v>0</v>
      </c>
      <c r="D626" s="47">
        <v>0</v>
      </c>
      <c r="E626" s="47">
        <v>0</v>
      </c>
      <c r="F626" s="47">
        <v>0</v>
      </c>
      <c r="G626" s="47">
        <v>1</v>
      </c>
      <c r="H626" s="47">
        <v>4</v>
      </c>
      <c r="I626" s="39"/>
      <c r="J626" s="48">
        <v>15</v>
      </c>
      <c r="K626" s="124">
        <f t="shared" si="53"/>
        <v>20</v>
      </c>
      <c r="L626" s="75"/>
    </row>
    <row r="627" spans="1:12" ht="12.75">
      <c r="A627" s="2" t="s">
        <v>6</v>
      </c>
      <c r="B627" s="124">
        <f t="shared" si="52"/>
        <v>2</v>
      </c>
      <c r="C627" s="134">
        <v>0</v>
      </c>
      <c r="D627" s="47">
        <v>0</v>
      </c>
      <c r="E627" s="47">
        <v>0</v>
      </c>
      <c r="F627" s="47">
        <v>0</v>
      </c>
      <c r="G627" s="47">
        <v>0</v>
      </c>
      <c r="H627" s="47">
        <v>2</v>
      </c>
      <c r="I627" s="39"/>
      <c r="J627" s="48">
        <v>12</v>
      </c>
      <c r="K627" s="124">
        <f t="shared" si="53"/>
        <v>14</v>
      </c>
      <c r="L627" s="75"/>
    </row>
    <row r="628" spans="1:14" s="16" customFormat="1" ht="12.75">
      <c r="A628" s="3" t="s">
        <v>7</v>
      </c>
      <c r="B628" s="124">
        <f t="shared" si="52"/>
        <v>6</v>
      </c>
      <c r="C628" s="134">
        <v>0</v>
      </c>
      <c r="D628" s="47">
        <v>0</v>
      </c>
      <c r="E628" s="47">
        <v>0</v>
      </c>
      <c r="F628" s="47">
        <v>1</v>
      </c>
      <c r="G628" s="47">
        <v>1</v>
      </c>
      <c r="H628" s="47">
        <v>4</v>
      </c>
      <c r="I628" s="39"/>
      <c r="J628" s="48">
        <v>12</v>
      </c>
      <c r="K628" s="124">
        <f t="shared" si="53"/>
        <v>18</v>
      </c>
      <c r="L628" s="75"/>
      <c r="M628"/>
      <c r="N628"/>
    </row>
    <row r="629" spans="1:14" s="16" customFormat="1" ht="12.75">
      <c r="A629" s="2" t="s">
        <v>8</v>
      </c>
      <c r="B629" s="124">
        <f t="shared" si="52"/>
        <v>2</v>
      </c>
      <c r="C629" s="134">
        <v>0</v>
      </c>
      <c r="D629" s="47">
        <v>0</v>
      </c>
      <c r="E629" s="47">
        <v>0</v>
      </c>
      <c r="F629" s="47">
        <v>0</v>
      </c>
      <c r="G629" s="47">
        <v>2</v>
      </c>
      <c r="H629" s="47">
        <v>0</v>
      </c>
      <c r="I629" s="39"/>
      <c r="J629" s="48">
        <v>13</v>
      </c>
      <c r="K629" s="124">
        <f t="shared" si="53"/>
        <v>15</v>
      </c>
      <c r="L629" s="75"/>
      <c r="M629"/>
      <c r="N629"/>
    </row>
    <row r="630" spans="1:12" ht="12.75">
      <c r="A630" s="2" t="s">
        <v>9</v>
      </c>
      <c r="B630" s="124">
        <f t="shared" si="52"/>
        <v>3</v>
      </c>
      <c r="C630" s="134">
        <v>0</v>
      </c>
      <c r="D630" s="47">
        <v>0</v>
      </c>
      <c r="E630" s="47">
        <v>0</v>
      </c>
      <c r="F630" s="47">
        <v>0</v>
      </c>
      <c r="G630" s="47">
        <v>0</v>
      </c>
      <c r="H630" s="47">
        <v>3</v>
      </c>
      <c r="I630" s="39"/>
      <c r="J630" s="48">
        <v>12</v>
      </c>
      <c r="K630" s="124">
        <f t="shared" si="53"/>
        <v>15</v>
      </c>
      <c r="L630" s="75"/>
    </row>
    <row r="631" spans="1:12" ht="12.75">
      <c r="A631" s="2" t="s">
        <v>10</v>
      </c>
      <c r="B631" s="124">
        <f t="shared" si="52"/>
        <v>8</v>
      </c>
      <c r="C631" s="134">
        <v>0</v>
      </c>
      <c r="D631" s="47">
        <v>1</v>
      </c>
      <c r="E631" s="47">
        <v>0</v>
      </c>
      <c r="F631" s="47">
        <v>0</v>
      </c>
      <c r="G631" s="47">
        <v>3</v>
      </c>
      <c r="H631" s="47">
        <v>4</v>
      </c>
      <c r="I631" s="39"/>
      <c r="J631" s="48">
        <v>19</v>
      </c>
      <c r="K631" s="124">
        <f t="shared" si="53"/>
        <v>27</v>
      </c>
      <c r="L631" s="75"/>
    </row>
    <row r="632" spans="1:12" ht="12.75">
      <c r="A632" s="3" t="s">
        <v>11</v>
      </c>
      <c r="B632" s="124">
        <f t="shared" si="52"/>
        <v>8</v>
      </c>
      <c r="C632" s="134">
        <v>0</v>
      </c>
      <c r="D632" s="47">
        <v>0</v>
      </c>
      <c r="E632" s="47">
        <v>0</v>
      </c>
      <c r="F632" s="47">
        <v>1</v>
      </c>
      <c r="G632" s="47">
        <v>3</v>
      </c>
      <c r="H632" s="47">
        <v>4</v>
      </c>
      <c r="I632" s="39"/>
      <c r="J632" s="48">
        <v>25</v>
      </c>
      <c r="K632" s="124">
        <f t="shared" si="53"/>
        <v>33</v>
      </c>
      <c r="L632" s="75"/>
    </row>
    <row r="633" spans="1:12" ht="12.75">
      <c r="A633" s="2" t="s">
        <v>12</v>
      </c>
      <c r="B633" s="124">
        <f t="shared" si="52"/>
        <v>10</v>
      </c>
      <c r="C633" s="134">
        <v>0</v>
      </c>
      <c r="D633" s="47">
        <v>0</v>
      </c>
      <c r="E633" s="47">
        <v>0</v>
      </c>
      <c r="F633" s="47">
        <v>3</v>
      </c>
      <c r="G633" s="47">
        <v>3</v>
      </c>
      <c r="H633" s="47">
        <v>4</v>
      </c>
      <c r="I633" s="39"/>
      <c r="J633" s="48">
        <v>16</v>
      </c>
      <c r="K633" s="124">
        <f t="shared" si="53"/>
        <v>26</v>
      </c>
      <c r="L633" s="75"/>
    </row>
    <row r="634" spans="1:12" ht="12.75">
      <c r="A634" s="2" t="s">
        <v>13</v>
      </c>
      <c r="B634" s="124">
        <f t="shared" si="52"/>
        <v>10</v>
      </c>
      <c r="C634" s="134">
        <v>0</v>
      </c>
      <c r="D634" s="47">
        <v>0</v>
      </c>
      <c r="E634" s="47">
        <v>1</v>
      </c>
      <c r="F634" s="47">
        <v>2</v>
      </c>
      <c r="G634" s="47">
        <v>2</v>
      </c>
      <c r="H634" s="47">
        <v>5</v>
      </c>
      <c r="I634" s="39"/>
      <c r="J634" s="48">
        <v>28</v>
      </c>
      <c r="K634" s="124">
        <f t="shared" si="53"/>
        <v>38</v>
      </c>
      <c r="L634" s="75"/>
    </row>
    <row r="635" spans="1:12" ht="12.75">
      <c r="A635" s="2" t="s">
        <v>14</v>
      </c>
      <c r="B635" s="124">
        <f t="shared" si="52"/>
        <v>7</v>
      </c>
      <c r="C635" s="134">
        <v>0</v>
      </c>
      <c r="D635" s="47">
        <v>0</v>
      </c>
      <c r="E635" s="47">
        <v>0</v>
      </c>
      <c r="F635" s="47">
        <v>1</v>
      </c>
      <c r="G635" s="47">
        <v>4</v>
      </c>
      <c r="H635" s="47">
        <v>2</v>
      </c>
      <c r="I635" s="39"/>
      <c r="J635" s="48">
        <v>18</v>
      </c>
      <c r="K635" s="124">
        <f t="shared" si="53"/>
        <v>25</v>
      </c>
      <c r="L635" s="75"/>
    </row>
    <row r="636" spans="1:12" ht="14.25">
      <c r="A636" s="3" t="s">
        <v>229</v>
      </c>
      <c r="B636" s="124">
        <f t="shared" si="52"/>
        <v>8</v>
      </c>
      <c r="C636" s="134">
        <v>0</v>
      </c>
      <c r="D636" s="47">
        <v>2</v>
      </c>
      <c r="E636" s="47">
        <v>0</v>
      </c>
      <c r="F636" s="47">
        <v>0</v>
      </c>
      <c r="G636" s="47">
        <v>4</v>
      </c>
      <c r="H636" s="47">
        <v>2</v>
      </c>
      <c r="I636" s="39"/>
      <c r="J636" s="48">
        <v>15</v>
      </c>
      <c r="K636" s="124">
        <f t="shared" si="53"/>
        <v>23</v>
      </c>
      <c r="L636" s="75"/>
    </row>
    <row r="637" spans="1:12" ht="12.75">
      <c r="A637" s="2" t="s">
        <v>15</v>
      </c>
      <c r="B637" s="124">
        <f t="shared" si="52"/>
        <v>13</v>
      </c>
      <c r="C637" s="134">
        <v>1</v>
      </c>
      <c r="D637" s="47">
        <v>2</v>
      </c>
      <c r="E637" s="47">
        <v>0</v>
      </c>
      <c r="F637" s="47">
        <v>1</v>
      </c>
      <c r="G637" s="47">
        <v>8</v>
      </c>
      <c r="H637" s="47">
        <v>1</v>
      </c>
      <c r="I637" s="39"/>
      <c r="J637" s="48">
        <v>32</v>
      </c>
      <c r="K637" s="124">
        <f t="shared" si="53"/>
        <v>45</v>
      </c>
      <c r="L637" s="75"/>
    </row>
    <row r="638" spans="1:12" ht="12.75">
      <c r="A638" s="2" t="s">
        <v>16</v>
      </c>
      <c r="B638" s="124">
        <f t="shared" si="52"/>
        <v>6</v>
      </c>
      <c r="C638" s="134">
        <v>0</v>
      </c>
      <c r="D638" s="47">
        <v>1</v>
      </c>
      <c r="E638" s="47">
        <v>0</v>
      </c>
      <c r="F638" s="47">
        <v>0</v>
      </c>
      <c r="G638" s="47">
        <v>4</v>
      </c>
      <c r="H638" s="47">
        <v>1</v>
      </c>
      <c r="I638" s="39"/>
      <c r="J638" s="48">
        <v>19</v>
      </c>
      <c r="K638" s="124">
        <f t="shared" si="53"/>
        <v>25</v>
      </c>
      <c r="L638" s="75"/>
    </row>
    <row r="639" spans="1:12" ht="12.75">
      <c r="A639" s="2" t="s">
        <v>17</v>
      </c>
      <c r="B639" s="124">
        <f t="shared" si="52"/>
        <v>4</v>
      </c>
      <c r="C639" s="134">
        <v>0</v>
      </c>
      <c r="D639" s="47">
        <v>1</v>
      </c>
      <c r="E639" s="47">
        <v>0</v>
      </c>
      <c r="F639" s="47">
        <v>1</v>
      </c>
      <c r="G639" s="47">
        <v>2</v>
      </c>
      <c r="H639" s="47">
        <v>0</v>
      </c>
      <c r="I639" s="39"/>
      <c r="J639" s="48">
        <v>15</v>
      </c>
      <c r="K639" s="124">
        <f t="shared" si="53"/>
        <v>19</v>
      </c>
      <c r="L639" s="75"/>
    </row>
    <row r="640" spans="1:12" ht="12.75">
      <c r="A640" s="6" t="s">
        <v>23</v>
      </c>
      <c r="B640" s="122">
        <f t="shared" si="52"/>
        <v>111</v>
      </c>
      <c r="C640" s="121">
        <f aca="true" t="shared" si="54" ref="C640:H640">SUM(C621:C639)</f>
        <v>1</v>
      </c>
      <c r="D640" s="119">
        <f t="shared" si="54"/>
        <v>8</v>
      </c>
      <c r="E640" s="119">
        <f t="shared" si="54"/>
        <v>2</v>
      </c>
      <c r="F640" s="119">
        <f t="shared" si="54"/>
        <v>16</v>
      </c>
      <c r="G640" s="119">
        <f t="shared" si="54"/>
        <v>40</v>
      </c>
      <c r="H640" s="119">
        <f t="shared" si="54"/>
        <v>44</v>
      </c>
      <c r="I640" s="39"/>
      <c r="J640" s="119">
        <f>SUM(J621:J639)</f>
        <v>321</v>
      </c>
      <c r="K640" s="122">
        <f t="shared" si="53"/>
        <v>432</v>
      </c>
      <c r="L640" s="30"/>
    </row>
    <row r="641" spans="1:2" ht="12.75">
      <c r="A641" s="19" t="s">
        <v>238</v>
      </c>
      <c r="B641" s="20"/>
    </row>
    <row r="642" spans="1:2" ht="12.75">
      <c r="A642" s="19" t="s">
        <v>239</v>
      </c>
      <c r="B642" s="20"/>
    </row>
    <row r="643" spans="1:2" ht="12.75">
      <c r="A643" s="20"/>
      <c r="B643" s="20"/>
    </row>
    <row r="644" spans="1:10" ht="12.75">
      <c r="A644" s="14"/>
      <c r="B644" s="14"/>
      <c r="C644" s="11"/>
      <c r="D644" s="11"/>
      <c r="E644" s="11"/>
      <c r="F644" s="11"/>
      <c r="G644" s="11"/>
      <c r="H644" s="11"/>
      <c r="I644" s="129"/>
      <c r="J644" s="14"/>
    </row>
    <row r="645" spans="1:10" ht="12.75">
      <c r="A645" s="14"/>
      <c r="B645" s="14"/>
      <c r="C645" s="11"/>
      <c r="D645" s="11"/>
      <c r="E645" s="11"/>
      <c r="F645" s="11"/>
      <c r="G645" s="11"/>
      <c r="H645" s="11"/>
      <c r="I645" s="129"/>
      <c r="J645" s="14"/>
    </row>
    <row r="646" spans="1:10" ht="12.75">
      <c r="A646" s="14" t="s">
        <v>243</v>
      </c>
      <c r="B646" s="14"/>
      <c r="C646" s="11"/>
      <c r="D646" s="11"/>
      <c r="E646" s="11"/>
      <c r="F646" s="11"/>
      <c r="G646" s="11"/>
      <c r="H646" s="11"/>
      <c r="I646" s="129"/>
      <c r="J646" s="14"/>
    </row>
    <row r="647" spans="1:10" ht="12.75">
      <c r="A647" s="16"/>
      <c r="B647" s="16"/>
      <c r="C647" s="11"/>
      <c r="D647" s="11"/>
      <c r="E647" s="11"/>
      <c r="F647" s="11"/>
      <c r="G647" s="11"/>
      <c r="H647" s="11"/>
      <c r="I647" s="129"/>
      <c r="J647" s="16"/>
    </row>
    <row r="648" spans="1:11" ht="12.75">
      <c r="A648" s="123"/>
      <c r="B648" s="120"/>
      <c r="C648" s="283" t="s">
        <v>248</v>
      </c>
      <c r="D648" s="284"/>
      <c r="E648" s="284"/>
      <c r="F648" s="285"/>
      <c r="G648" s="283" t="s">
        <v>237</v>
      </c>
      <c r="H648" s="285"/>
      <c r="I648" s="129"/>
      <c r="J648" s="120"/>
      <c r="K648" s="120"/>
    </row>
    <row r="649" spans="1:11" ht="12.75">
      <c r="A649" s="2"/>
      <c r="B649" s="2"/>
      <c r="C649" s="7" t="s">
        <v>233</v>
      </c>
      <c r="D649" s="5" t="s">
        <v>233</v>
      </c>
      <c r="E649" s="120"/>
      <c r="F649" s="7"/>
      <c r="G649" s="8"/>
      <c r="H649" s="8"/>
      <c r="I649" s="129"/>
      <c r="J649" s="8"/>
      <c r="K649" s="8"/>
    </row>
    <row r="650" spans="1:11" ht="12.75">
      <c r="A650" s="2"/>
      <c r="B650" s="2"/>
      <c r="C650" s="8" t="s">
        <v>234</v>
      </c>
      <c r="D650" s="5" t="s">
        <v>234</v>
      </c>
      <c r="E650" s="98"/>
      <c r="F650" s="8"/>
      <c r="G650" s="8"/>
      <c r="H650" s="8"/>
      <c r="I650" s="129"/>
      <c r="J650" s="8" t="s">
        <v>225</v>
      </c>
      <c r="K650" s="8"/>
    </row>
    <row r="651" spans="1:11" ht="12.75">
      <c r="A651" s="2"/>
      <c r="B651" s="2"/>
      <c r="C651" s="8" t="s">
        <v>231</v>
      </c>
      <c r="D651" s="5" t="s">
        <v>231</v>
      </c>
      <c r="E651" s="8" t="s">
        <v>233</v>
      </c>
      <c r="F651" s="8" t="s">
        <v>233</v>
      </c>
      <c r="G651" s="8" t="s">
        <v>233</v>
      </c>
      <c r="H651" s="8" t="s">
        <v>233</v>
      </c>
      <c r="I651" s="129"/>
      <c r="J651" s="8" t="s">
        <v>48</v>
      </c>
      <c r="K651" s="8" t="s">
        <v>198</v>
      </c>
    </row>
    <row r="652" spans="1:11" ht="12.75">
      <c r="A652" s="2"/>
      <c r="B652" s="2"/>
      <c r="C652" s="8" t="s">
        <v>227</v>
      </c>
      <c r="D652" s="5" t="s">
        <v>232</v>
      </c>
      <c r="E652" s="8" t="s">
        <v>235</v>
      </c>
      <c r="F652" s="8" t="s">
        <v>236</v>
      </c>
      <c r="G652" s="8" t="s">
        <v>235</v>
      </c>
      <c r="H652" s="8" t="s">
        <v>236</v>
      </c>
      <c r="I652" s="129"/>
      <c r="J652" s="8" t="s">
        <v>223</v>
      </c>
      <c r="K652" s="8" t="s">
        <v>205</v>
      </c>
    </row>
    <row r="653" spans="1:11" ht="14.25">
      <c r="A653" s="4"/>
      <c r="B653" s="17" t="s">
        <v>159</v>
      </c>
      <c r="C653" s="9" t="s">
        <v>226</v>
      </c>
      <c r="D653" s="17" t="s">
        <v>226</v>
      </c>
      <c r="E653" s="9" t="s">
        <v>62</v>
      </c>
      <c r="F653" s="9" t="s">
        <v>48</v>
      </c>
      <c r="G653" s="9" t="s">
        <v>62</v>
      </c>
      <c r="H653" s="9" t="s">
        <v>48</v>
      </c>
      <c r="I653" s="129"/>
      <c r="J653" s="9" t="s">
        <v>224</v>
      </c>
      <c r="K653" s="83" t="s">
        <v>259</v>
      </c>
    </row>
    <row r="654" spans="1:12" ht="12.75">
      <c r="A654" s="2" t="s">
        <v>0</v>
      </c>
      <c r="B654" s="124">
        <f>C654+D654+E654+F654+G654+H654</f>
        <v>6</v>
      </c>
      <c r="C654" s="134">
        <v>0</v>
      </c>
      <c r="D654" s="47">
        <v>0</v>
      </c>
      <c r="E654" s="47">
        <v>0</v>
      </c>
      <c r="F654" s="47">
        <v>1</v>
      </c>
      <c r="G654" s="47">
        <v>2</v>
      </c>
      <c r="H654" s="47">
        <v>3</v>
      </c>
      <c r="I654" s="39"/>
      <c r="J654" s="48">
        <v>12</v>
      </c>
      <c r="K654" s="124">
        <f>B654+J654</f>
        <v>18</v>
      </c>
      <c r="L654" s="75"/>
    </row>
    <row r="655" spans="1:12" ht="12.75">
      <c r="A655" s="2" t="s">
        <v>1</v>
      </c>
      <c r="B655" s="124">
        <f aca="true" t="shared" si="55" ref="B655:B673">C655+D655+E655+F655+G655+H655</f>
        <v>4</v>
      </c>
      <c r="C655" s="134">
        <v>0</v>
      </c>
      <c r="D655" s="47">
        <v>0</v>
      </c>
      <c r="E655" s="47">
        <v>0</v>
      </c>
      <c r="F655" s="47">
        <v>1</v>
      </c>
      <c r="G655" s="47">
        <v>0</v>
      </c>
      <c r="H655" s="47">
        <v>3</v>
      </c>
      <c r="I655" s="39"/>
      <c r="J655" s="48">
        <v>18</v>
      </c>
      <c r="K655" s="124">
        <f aca="true" t="shared" si="56" ref="K655:K673">B655+J655</f>
        <v>22</v>
      </c>
      <c r="L655" s="75"/>
    </row>
    <row r="656" spans="1:12" ht="12.75">
      <c r="A656" s="2" t="s">
        <v>2</v>
      </c>
      <c r="B656" s="124">
        <f t="shared" si="55"/>
        <v>0</v>
      </c>
      <c r="C656" s="134">
        <v>0</v>
      </c>
      <c r="D656" s="47">
        <v>0</v>
      </c>
      <c r="E656" s="47">
        <v>0</v>
      </c>
      <c r="F656" s="47">
        <v>0</v>
      </c>
      <c r="G656" s="47">
        <v>0</v>
      </c>
      <c r="H656" s="47">
        <v>0</v>
      </c>
      <c r="I656" s="39"/>
      <c r="J656" s="48">
        <v>1</v>
      </c>
      <c r="K656" s="124">
        <f t="shared" si="56"/>
        <v>1</v>
      </c>
      <c r="L656" s="75"/>
    </row>
    <row r="657" spans="1:12" ht="12.75">
      <c r="A657" s="2" t="s">
        <v>3</v>
      </c>
      <c r="B657" s="124">
        <f t="shared" si="55"/>
        <v>9</v>
      </c>
      <c r="C657" s="134">
        <v>0</v>
      </c>
      <c r="D657" s="47">
        <v>1</v>
      </c>
      <c r="E657" s="47">
        <v>1</v>
      </c>
      <c r="F657" s="47">
        <v>3</v>
      </c>
      <c r="G657" s="47">
        <v>1</v>
      </c>
      <c r="H657" s="47">
        <v>3</v>
      </c>
      <c r="I657" s="39"/>
      <c r="J657" s="48">
        <v>13</v>
      </c>
      <c r="K657" s="124">
        <f t="shared" si="56"/>
        <v>22</v>
      </c>
      <c r="L657" s="75"/>
    </row>
    <row r="658" spans="1:12" ht="12.75">
      <c r="A658" s="2" t="s">
        <v>4</v>
      </c>
      <c r="B658" s="124">
        <f t="shared" si="55"/>
        <v>6</v>
      </c>
      <c r="C658" s="134">
        <v>0</v>
      </c>
      <c r="D658" s="47">
        <v>0</v>
      </c>
      <c r="E658" s="47">
        <v>0</v>
      </c>
      <c r="F658" s="47">
        <v>1</v>
      </c>
      <c r="G658" s="47">
        <v>0</v>
      </c>
      <c r="H658" s="47">
        <v>5</v>
      </c>
      <c r="I658" s="39"/>
      <c r="J658" s="48">
        <v>20</v>
      </c>
      <c r="K658" s="124">
        <f t="shared" si="56"/>
        <v>26</v>
      </c>
      <c r="L658" s="75"/>
    </row>
    <row r="659" spans="1:12" ht="14.25">
      <c r="A659" s="2" t="s">
        <v>230</v>
      </c>
      <c r="B659" s="124">
        <f t="shared" si="55"/>
        <v>4</v>
      </c>
      <c r="C659" s="134">
        <v>0</v>
      </c>
      <c r="D659" s="47">
        <v>0</v>
      </c>
      <c r="E659" s="47">
        <v>0</v>
      </c>
      <c r="F659" s="47">
        <v>0</v>
      </c>
      <c r="G659" s="47">
        <v>1</v>
      </c>
      <c r="H659" s="47">
        <v>3</v>
      </c>
      <c r="I659" s="39"/>
      <c r="J659" s="48">
        <v>16</v>
      </c>
      <c r="K659" s="124">
        <f t="shared" si="56"/>
        <v>20</v>
      </c>
      <c r="L659" s="75"/>
    </row>
    <row r="660" spans="1:12" ht="12.75">
      <c r="A660" s="2" t="s">
        <v>6</v>
      </c>
      <c r="B660" s="124">
        <f t="shared" si="55"/>
        <v>0</v>
      </c>
      <c r="C660" s="134">
        <v>0</v>
      </c>
      <c r="D660" s="47">
        <v>0</v>
      </c>
      <c r="E660" s="47">
        <v>0</v>
      </c>
      <c r="F660" s="47">
        <v>0</v>
      </c>
      <c r="G660" s="47">
        <v>0</v>
      </c>
      <c r="H660" s="47">
        <v>0</v>
      </c>
      <c r="I660" s="39"/>
      <c r="J660" s="48">
        <v>14</v>
      </c>
      <c r="K660" s="124">
        <f t="shared" si="56"/>
        <v>14</v>
      </c>
      <c r="L660" s="75"/>
    </row>
    <row r="661" spans="1:14" s="16" customFormat="1" ht="12.75">
      <c r="A661" s="3" t="s">
        <v>7</v>
      </c>
      <c r="B661" s="124">
        <f t="shared" si="55"/>
        <v>5</v>
      </c>
      <c r="C661" s="134">
        <v>0</v>
      </c>
      <c r="D661" s="47">
        <v>0</v>
      </c>
      <c r="E661" s="47">
        <v>0</v>
      </c>
      <c r="F661" s="47">
        <v>2</v>
      </c>
      <c r="G661" s="47">
        <v>1</v>
      </c>
      <c r="H661" s="47">
        <v>2</v>
      </c>
      <c r="I661" s="39"/>
      <c r="J661" s="48">
        <v>13</v>
      </c>
      <c r="K661" s="124">
        <f t="shared" si="56"/>
        <v>18</v>
      </c>
      <c r="L661" s="75"/>
      <c r="M661"/>
      <c r="N661"/>
    </row>
    <row r="662" spans="1:14" s="16" customFormat="1" ht="12.75">
      <c r="A662" s="2" t="s">
        <v>8</v>
      </c>
      <c r="B662" s="124">
        <f t="shared" si="55"/>
        <v>2</v>
      </c>
      <c r="C662" s="134">
        <v>0</v>
      </c>
      <c r="D662" s="47">
        <v>0</v>
      </c>
      <c r="E662" s="47">
        <v>0</v>
      </c>
      <c r="F662" s="47">
        <v>0</v>
      </c>
      <c r="G662" s="47">
        <v>2</v>
      </c>
      <c r="H662" s="47">
        <v>0</v>
      </c>
      <c r="I662" s="39"/>
      <c r="J662" s="48">
        <v>13</v>
      </c>
      <c r="K662" s="124">
        <f t="shared" si="56"/>
        <v>15</v>
      </c>
      <c r="L662" s="75"/>
      <c r="M662"/>
      <c r="N662"/>
    </row>
    <row r="663" spans="1:12" ht="12.75">
      <c r="A663" s="2" t="s">
        <v>9</v>
      </c>
      <c r="B663" s="124">
        <f t="shared" si="55"/>
        <v>3</v>
      </c>
      <c r="C663" s="134">
        <v>0</v>
      </c>
      <c r="D663" s="47">
        <v>0</v>
      </c>
      <c r="E663" s="47">
        <v>0</v>
      </c>
      <c r="F663" s="47">
        <v>0</v>
      </c>
      <c r="G663" s="47">
        <v>1</v>
      </c>
      <c r="H663" s="47">
        <v>2</v>
      </c>
      <c r="I663" s="39"/>
      <c r="J663" s="48">
        <v>12</v>
      </c>
      <c r="K663" s="124">
        <f t="shared" si="56"/>
        <v>15</v>
      </c>
      <c r="L663" s="75"/>
    </row>
    <row r="664" spans="1:12" ht="12.75">
      <c r="A664" s="2" t="s">
        <v>10</v>
      </c>
      <c r="B664" s="124">
        <f t="shared" si="55"/>
        <v>6</v>
      </c>
      <c r="C664" s="134">
        <v>0</v>
      </c>
      <c r="D664" s="47">
        <v>0</v>
      </c>
      <c r="E664" s="47">
        <v>0</v>
      </c>
      <c r="F664" s="47">
        <v>0</v>
      </c>
      <c r="G664" s="47">
        <v>4</v>
      </c>
      <c r="H664" s="47">
        <v>2</v>
      </c>
      <c r="I664" s="39"/>
      <c r="J664" s="48">
        <v>21</v>
      </c>
      <c r="K664" s="124">
        <f t="shared" si="56"/>
        <v>27</v>
      </c>
      <c r="L664" s="75"/>
    </row>
    <row r="665" spans="1:12" ht="12.75">
      <c r="A665" s="3" t="s">
        <v>11</v>
      </c>
      <c r="B665" s="124">
        <f t="shared" si="55"/>
        <v>8</v>
      </c>
      <c r="C665" s="134">
        <v>0</v>
      </c>
      <c r="D665" s="47">
        <v>0</v>
      </c>
      <c r="E665" s="47">
        <v>0</v>
      </c>
      <c r="F665" s="47">
        <v>0</v>
      </c>
      <c r="G665" s="47">
        <v>3</v>
      </c>
      <c r="H665" s="47">
        <v>5</v>
      </c>
      <c r="I665" s="39"/>
      <c r="J665" s="48">
        <v>25</v>
      </c>
      <c r="K665" s="124">
        <f t="shared" si="56"/>
        <v>33</v>
      </c>
      <c r="L665" s="75"/>
    </row>
    <row r="666" spans="1:12" ht="12.75">
      <c r="A666" s="2" t="s">
        <v>12</v>
      </c>
      <c r="B666" s="124">
        <f t="shared" si="55"/>
        <v>9</v>
      </c>
      <c r="C666" s="134">
        <v>1</v>
      </c>
      <c r="D666" s="47">
        <v>0</v>
      </c>
      <c r="E666" s="47">
        <v>0</v>
      </c>
      <c r="F666" s="47">
        <v>2</v>
      </c>
      <c r="G666" s="47">
        <v>3</v>
      </c>
      <c r="H666" s="47">
        <v>3</v>
      </c>
      <c r="I666" s="39"/>
      <c r="J666" s="48">
        <v>17</v>
      </c>
      <c r="K666" s="124">
        <f t="shared" si="56"/>
        <v>26</v>
      </c>
      <c r="L666" s="75"/>
    </row>
    <row r="667" spans="1:12" ht="12.75">
      <c r="A667" s="2" t="s">
        <v>13</v>
      </c>
      <c r="B667" s="124">
        <f t="shared" si="55"/>
        <v>10</v>
      </c>
      <c r="C667" s="134">
        <v>0</v>
      </c>
      <c r="D667" s="47">
        <v>0</v>
      </c>
      <c r="E667" s="47">
        <v>1</v>
      </c>
      <c r="F667" s="47">
        <v>2</v>
      </c>
      <c r="G667" s="47">
        <v>3</v>
      </c>
      <c r="H667" s="47">
        <v>4</v>
      </c>
      <c r="I667" s="39"/>
      <c r="J667" s="48">
        <v>28</v>
      </c>
      <c r="K667" s="124">
        <f t="shared" si="56"/>
        <v>38</v>
      </c>
      <c r="L667" s="75"/>
    </row>
    <row r="668" spans="1:12" ht="12.75">
      <c r="A668" s="2" t="s">
        <v>14</v>
      </c>
      <c r="B668" s="124">
        <f t="shared" si="55"/>
        <v>8</v>
      </c>
      <c r="C668" s="134">
        <v>0</v>
      </c>
      <c r="D668" s="47">
        <v>1</v>
      </c>
      <c r="E668" s="47">
        <v>0</v>
      </c>
      <c r="F668" s="47">
        <v>1</v>
      </c>
      <c r="G668" s="47">
        <v>3</v>
      </c>
      <c r="H668" s="47">
        <v>3</v>
      </c>
      <c r="I668" s="39"/>
      <c r="J668" s="48">
        <v>17</v>
      </c>
      <c r="K668" s="124">
        <f t="shared" si="56"/>
        <v>25</v>
      </c>
      <c r="L668" s="75"/>
    </row>
    <row r="669" spans="1:12" ht="14.25">
      <c r="A669" s="3" t="s">
        <v>229</v>
      </c>
      <c r="B669" s="124">
        <f t="shared" si="55"/>
        <v>11</v>
      </c>
      <c r="C669" s="134">
        <v>0</v>
      </c>
      <c r="D669" s="47">
        <v>2</v>
      </c>
      <c r="E669" s="47">
        <v>0</v>
      </c>
      <c r="F669" s="47">
        <v>2</v>
      </c>
      <c r="G669" s="47">
        <v>4</v>
      </c>
      <c r="H669" s="47">
        <v>3</v>
      </c>
      <c r="I669" s="39"/>
      <c r="J669" s="48">
        <v>12</v>
      </c>
      <c r="K669" s="124">
        <f t="shared" si="56"/>
        <v>23</v>
      </c>
      <c r="L669" s="75"/>
    </row>
    <row r="670" spans="1:12" ht="12.75">
      <c r="A670" s="2" t="s">
        <v>15</v>
      </c>
      <c r="B670" s="124">
        <f t="shared" si="55"/>
        <v>12</v>
      </c>
      <c r="C670" s="134">
        <v>1</v>
      </c>
      <c r="D670" s="47">
        <v>2</v>
      </c>
      <c r="E670" s="47">
        <v>0</v>
      </c>
      <c r="F670" s="47">
        <v>0</v>
      </c>
      <c r="G670" s="47">
        <v>8</v>
      </c>
      <c r="H670" s="47">
        <v>1</v>
      </c>
      <c r="I670" s="39"/>
      <c r="J670" s="48">
        <v>33</v>
      </c>
      <c r="K670" s="124">
        <f t="shared" si="56"/>
        <v>45</v>
      </c>
      <c r="L670" s="75"/>
    </row>
    <row r="671" spans="1:12" ht="12.75">
      <c r="A671" s="2" t="s">
        <v>16</v>
      </c>
      <c r="B671" s="124">
        <f t="shared" si="55"/>
        <v>7</v>
      </c>
      <c r="C671" s="134">
        <v>0</v>
      </c>
      <c r="D671" s="47">
        <v>1</v>
      </c>
      <c r="E671" s="47">
        <v>0</v>
      </c>
      <c r="F671" s="47">
        <v>1</v>
      </c>
      <c r="G671" s="47">
        <v>4</v>
      </c>
      <c r="H671" s="47">
        <v>1</v>
      </c>
      <c r="I671" s="39"/>
      <c r="J671" s="48">
        <v>18</v>
      </c>
      <c r="K671" s="124">
        <f t="shared" si="56"/>
        <v>25</v>
      </c>
      <c r="L671" s="75"/>
    </row>
    <row r="672" spans="1:12" ht="12.75">
      <c r="A672" s="2" t="s">
        <v>17</v>
      </c>
      <c r="B672" s="124">
        <f t="shared" si="55"/>
        <v>4</v>
      </c>
      <c r="C672" s="134">
        <v>0</v>
      </c>
      <c r="D672" s="47">
        <v>1</v>
      </c>
      <c r="E672" s="47">
        <v>0</v>
      </c>
      <c r="F672" s="47">
        <v>1</v>
      </c>
      <c r="G672" s="47">
        <v>1</v>
      </c>
      <c r="H672" s="47">
        <v>1</v>
      </c>
      <c r="I672" s="39"/>
      <c r="J672" s="48">
        <v>15</v>
      </c>
      <c r="K672" s="124">
        <f t="shared" si="56"/>
        <v>19</v>
      </c>
      <c r="L672" s="75"/>
    </row>
    <row r="673" spans="1:12" ht="12.75">
      <c r="A673" s="6" t="s">
        <v>23</v>
      </c>
      <c r="B673" s="122">
        <f t="shared" si="55"/>
        <v>114</v>
      </c>
      <c r="C673" s="121">
        <f aca="true" t="shared" si="57" ref="C673:H673">SUM(C654:C672)</f>
        <v>2</v>
      </c>
      <c r="D673" s="119">
        <f t="shared" si="57"/>
        <v>8</v>
      </c>
      <c r="E673" s="119">
        <f t="shared" si="57"/>
        <v>2</v>
      </c>
      <c r="F673" s="119">
        <f t="shared" si="57"/>
        <v>17</v>
      </c>
      <c r="G673" s="119">
        <f t="shared" si="57"/>
        <v>41</v>
      </c>
      <c r="H673" s="119">
        <f t="shared" si="57"/>
        <v>44</v>
      </c>
      <c r="I673" s="39"/>
      <c r="J673" s="119">
        <f>SUM(J654:J672)</f>
        <v>318</v>
      </c>
      <c r="K673" s="122">
        <f t="shared" si="56"/>
        <v>432</v>
      </c>
      <c r="L673" s="30"/>
    </row>
    <row r="674" spans="1:2" ht="12.75">
      <c r="A674" s="19" t="s">
        <v>238</v>
      </c>
      <c r="B674" s="20"/>
    </row>
    <row r="675" spans="1:2" ht="12.75">
      <c r="A675" s="19" t="s">
        <v>239</v>
      </c>
      <c r="B675" s="20"/>
    </row>
    <row r="676" spans="1:2" ht="12.75">
      <c r="A676" s="20"/>
      <c r="B676" s="20"/>
    </row>
    <row r="677" spans="1:2" ht="12.75">
      <c r="A677" s="20"/>
      <c r="B677" s="20"/>
    </row>
    <row r="679" spans="1:9" s="55" customFormat="1" ht="12.75">
      <c r="A679" s="126" t="s">
        <v>244</v>
      </c>
      <c r="B679" s="126"/>
      <c r="C679" s="56"/>
      <c r="I679" s="20"/>
    </row>
    <row r="680" spans="1:10" s="55" customFormat="1" ht="12.75">
      <c r="A680" s="20"/>
      <c r="B680" s="20"/>
      <c r="C680" s="78"/>
      <c r="D680" s="78"/>
      <c r="E680" s="78"/>
      <c r="F680" s="78"/>
      <c r="G680" s="78"/>
      <c r="H680" s="78"/>
      <c r="I680" s="129"/>
      <c r="J680" s="127"/>
    </row>
    <row r="681" spans="1:11" s="55" customFormat="1" ht="12.75">
      <c r="A681" s="128"/>
      <c r="B681" s="120"/>
      <c r="C681" s="283" t="s">
        <v>248</v>
      </c>
      <c r="D681" s="284"/>
      <c r="E681" s="284"/>
      <c r="F681" s="285"/>
      <c r="G681" s="283" t="s">
        <v>237</v>
      </c>
      <c r="H681" s="285"/>
      <c r="I681" s="129"/>
      <c r="J681" s="86"/>
      <c r="K681" s="86"/>
    </row>
    <row r="682" spans="1:11" s="55" customFormat="1" ht="12.75">
      <c r="A682" s="19"/>
      <c r="B682" s="2"/>
      <c r="C682" s="91" t="s">
        <v>233</v>
      </c>
      <c r="D682" s="82" t="s">
        <v>233</v>
      </c>
      <c r="E682" s="86"/>
      <c r="F682" s="91"/>
      <c r="G682" s="81"/>
      <c r="H682" s="81"/>
      <c r="I682" s="129"/>
      <c r="J682" s="81"/>
      <c r="K682" s="81"/>
    </row>
    <row r="683" spans="1:11" s="55" customFormat="1" ht="12.75">
      <c r="A683" s="19"/>
      <c r="B683" s="2"/>
      <c r="C683" s="81" t="s">
        <v>234</v>
      </c>
      <c r="D683" s="82" t="s">
        <v>234</v>
      </c>
      <c r="E683" s="80"/>
      <c r="F683" s="81"/>
      <c r="G683" s="81"/>
      <c r="H683" s="81"/>
      <c r="I683" s="129"/>
      <c r="J683" s="81" t="s">
        <v>225</v>
      </c>
      <c r="K683" s="81"/>
    </row>
    <row r="684" spans="1:11" s="55" customFormat="1" ht="12.75">
      <c r="A684" s="19"/>
      <c r="B684" s="2"/>
      <c r="C684" s="81" t="s">
        <v>231</v>
      </c>
      <c r="D684" s="82" t="s">
        <v>231</v>
      </c>
      <c r="E684" s="81" t="s">
        <v>233</v>
      </c>
      <c r="F684" s="81" t="s">
        <v>233</v>
      </c>
      <c r="G684" s="81" t="s">
        <v>233</v>
      </c>
      <c r="H684" s="81" t="s">
        <v>233</v>
      </c>
      <c r="I684" s="129"/>
      <c r="J684" s="81" t="s">
        <v>48</v>
      </c>
      <c r="K684" s="81" t="s">
        <v>198</v>
      </c>
    </row>
    <row r="685" spans="1:11" s="55" customFormat="1" ht="12.75">
      <c r="A685" s="19"/>
      <c r="B685" s="2"/>
      <c r="C685" s="81" t="s">
        <v>227</v>
      </c>
      <c r="D685" s="82" t="s">
        <v>232</v>
      </c>
      <c r="E685" s="81" t="s">
        <v>235</v>
      </c>
      <c r="F685" s="81" t="s">
        <v>236</v>
      </c>
      <c r="G685" s="81" t="s">
        <v>235</v>
      </c>
      <c r="H685" s="81" t="s">
        <v>236</v>
      </c>
      <c r="I685" s="129"/>
      <c r="J685" s="81" t="s">
        <v>223</v>
      </c>
      <c r="K685" s="81" t="s">
        <v>205</v>
      </c>
    </row>
    <row r="686" spans="1:11" s="55" customFormat="1" ht="14.25">
      <c r="A686" s="130"/>
      <c r="B686" s="17" t="s">
        <v>159</v>
      </c>
      <c r="C686" s="83" t="s">
        <v>226</v>
      </c>
      <c r="D686" s="90" t="s">
        <v>226</v>
      </c>
      <c r="E686" s="83" t="s">
        <v>62</v>
      </c>
      <c r="F686" s="83" t="s">
        <v>48</v>
      </c>
      <c r="G686" s="83" t="s">
        <v>62</v>
      </c>
      <c r="H686" s="83" t="s">
        <v>48</v>
      </c>
      <c r="I686" s="129"/>
      <c r="J686" s="83" t="s">
        <v>224</v>
      </c>
      <c r="K686" s="83" t="s">
        <v>259</v>
      </c>
    </row>
    <row r="687" spans="1:12" s="55" customFormat="1" ht="12.75">
      <c r="A687" s="19" t="s">
        <v>0</v>
      </c>
      <c r="B687" s="124">
        <f>C687+D687+E687+F687+G687+H687</f>
        <v>5</v>
      </c>
      <c r="C687" s="134">
        <v>0</v>
      </c>
      <c r="D687" s="47">
        <v>0</v>
      </c>
      <c r="E687" s="47">
        <v>0</v>
      </c>
      <c r="F687" s="47">
        <v>1</v>
      </c>
      <c r="G687" s="47">
        <v>2</v>
      </c>
      <c r="H687" s="47">
        <v>2</v>
      </c>
      <c r="I687" s="39"/>
      <c r="J687" s="46">
        <v>13</v>
      </c>
      <c r="K687" s="124">
        <f>B687+J687</f>
        <v>18</v>
      </c>
      <c r="L687" s="75"/>
    </row>
    <row r="688" spans="1:12" s="55" customFormat="1" ht="12.75">
      <c r="A688" s="19" t="s">
        <v>1</v>
      </c>
      <c r="B688" s="124">
        <f aca="true" t="shared" si="58" ref="B688:B706">C688+D688+E688+F688+G688+H688</f>
        <v>2</v>
      </c>
      <c r="C688" s="134">
        <v>0</v>
      </c>
      <c r="D688" s="47">
        <v>0</v>
      </c>
      <c r="E688" s="47">
        <v>0</v>
      </c>
      <c r="F688" s="47">
        <v>1</v>
      </c>
      <c r="G688" s="47">
        <v>0</v>
      </c>
      <c r="H688" s="47">
        <v>1</v>
      </c>
      <c r="I688" s="39"/>
      <c r="J688" s="48">
        <v>20</v>
      </c>
      <c r="K688" s="124">
        <f aca="true" t="shared" si="59" ref="K688:K706">B688+J688</f>
        <v>22</v>
      </c>
      <c r="L688" s="75"/>
    </row>
    <row r="689" spans="1:12" s="55" customFormat="1" ht="12.75">
      <c r="A689" s="19" t="s">
        <v>2</v>
      </c>
      <c r="B689" s="124">
        <f t="shared" si="58"/>
        <v>0</v>
      </c>
      <c r="C689" s="134">
        <v>0</v>
      </c>
      <c r="D689" s="47">
        <v>0</v>
      </c>
      <c r="E689" s="47">
        <v>0</v>
      </c>
      <c r="F689" s="47">
        <v>0</v>
      </c>
      <c r="G689" s="47">
        <v>0</v>
      </c>
      <c r="H689" s="47">
        <v>0</v>
      </c>
      <c r="I689" s="39"/>
      <c r="J689" s="48">
        <v>1</v>
      </c>
      <c r="K689" s="124">
        <f t="shared" si="59"/>
        <v>1</v>
      </c>
      <c r="L689" s="75"/>
    </row>
    <row r="690" spans="1:12" s="55" customFormat="1" ht="12.75">
      <c r="A690" s="19" t="s">
        <v>3</v>
      </c>
      <c r="B690" s="124">
        <f t="shared" si="58"/>
        <v>7</v>
      </c>
      <c r="C690" s="134">
        <v>1</v>
      </c>
      <c r="D690" s="47">
        <v>1</v>
      </c>
      <c r="E690" s="47">
        <v>1</v>
      </c>
      <c r="F690" s="47">
        <v>3</v>
      </c>
      <c r="G690" s="47">
        <v>1</v>
      </c>
      <c r="H690" s="47">
        <v>0</v>
      </c>
      <c r="I690" s="39"/>
      <c r="J690" s="48">
        <v>15</v>
      </c>
      <c r="K690" s="124">
        <f t="shared" si="59"/>
        <v>22</v>
      </c>
      <c r="L690" s="75"/>
    </row>
    <row r="691" spans="1:12" s="55" customFormat="1" ht="12.75">
      <c r="A691" s="19" t="s">
        <v>4</v>
      </c>
      <c r="B691" s="124">
        <f t="shared" si="58"/>
        <v>6</v>
      </c>
      <c r="C691" s="134">
        <v>0</v>
      </c>
      <c r="D691" s="47">
        <v>0</v>
      </c>
      <c r="E691" s="47">
        <v>0</v>
      </c>
      <c r="F691" s="47">
        <v>2</v>
      </c>
      <c r="G691" s="47">
        <v>0</v>
      </c>
      <c r="H691" s="47">
        <v>4</v>
      </c>
      <c r="I691" s="39"/>
      <c r="J691" s="48">
        <v>20</v>
      </c>
      <c r="K691" s="124">
        <f t="shared" si="59"/>
        <v>26</v>
      </c>
      <c r="L691" s="75"/>
    </row>
    <row r="692" spans="1:12" s="55" customFormat="1" ht="14.25">
      <c r="A692" s="19" t="s">
        <v>230</v>
      </c>
      <c r="B692" s="124">
        <f t="shared" si="58"/>
        <v>4</v>
      </c>
      <c r="C692" s="134">
        <v>0</v>
      </c>
      <c r="D692" s="47">
        <v>0</v>
      </c>
      <c r="E692" s="47">
        <v>0</v>
      </c>
      <c r="F692" s="47">
        <v>0</v>
      </c>
      <c r="G692" s="47">
        <v>2</v>
      </c>
      <c r="H692" s="47">
        <v>2</v>
      </c>
      <c r="I692" s="39"/>
      <c r="J692" s="48">
        <v>16</v>
      </c>
      <c r="K692" s="124">
        <f t="shared" si="59"/>
        <v>20</v>
      </c>
      <c r="L692" s="75"/>
    </row>
    <row r="693" spans="1:12" s="55" customFormat="1" ht="12.75">
      <c r="A693" s="19" t="s">
        <v>6</v>
      </c>
      <c r="B693" s="124">
        <f t="shared" si="58"/>
        <v>0</v>
      </c>
      <c r="C693" s="134">
        <v>0</v>
      </c>
      <c r="D693" s="47">
        <v>0</v>
      </c>
      <c r="E693" s="47">
        <v>0</v>
      </c>
      <c r="F693" s="47">
        <v>0</v>
      </c>
      <c r="G693" s="47">
        <v>0</v>
      </c>
      <c r="H693" s="47">
        <v>0</v>
      </c>
      <c r="I693" s="39"/>
      <c r="J693" s="48">
        <v>14</v>
      </c>
      <c r="K693" s="124">
        <f t="shared" si="59"/>
        <v>14</v>
      </c>
      <c r="L693" s="75"/>
    </row>
    <row r="694" spans="1:14" s="20" customFormat="1" ht="12.75">
      <c r="A694" s="131" t="s">
        <v>7</v>
      </c>
      <c r="B694" s="124">
        <f t="shared" si="58"/>
        <v>5</v>
      </c>
      <c r="C694" s="134">
        <v>0</v>
      </c>
      <c r="D694" s="47">
        <v>0</v>
      </c>
      <c r="E694" s="47">
        <v>0</v>
      </c>
      <c r="F694" s="47">
        <v>2</v>
      </c>
      <c r="G694" s="47">
        <v>1</v>
      </c>
      <c r="H694" s="47">
        <v>2</v>
      </c>
      <c r="I694" s="39"/>
      <c r="J694" s="48">
        <v>13</v>
      </c>
      <c r="K694" s="124">
        <f t="shared" si="59"/>
        <v>18</v>
      </c>
      <c r="L694" s="75"/>
      <c r="M694" s="55"/>
      <c r="N694" s="55"/>
    </row>
    <row r="695" spans="1:14" s="20" customFormat="1" ht="12.75">
      <c r="A695" s="19" t="s">
        <v>8</v>
      </c>
      <c r="B695" s="124">
        <f t="shared" si="58"/>
        <v>3</v>
      </c>
      <c r="C695" s="134">
        <v>0</v>
      </c>
      <c r="D695" s="47">
        <v>0</v>
      </c>
      <c r="E695" s="47">
        <v>0</v>
      </c>
      <c r="F695" s="47">
        <v>0</v>
      </c>
      <c r="G695" s="47">
        <v>2</v>
      </c>
      <c r="H695" s="47">
        <v>1</v>
      </c>
      <c r="I695" s="39"/>
      <c r="J695" s="48">
        <v>12</v>
      </c>
      <c r="K695" s="124">
        <f t="shared" si="59"/>
        <v>15</v>
      </c>
      <c r="L695" s="75"/>
      <c r="M695" s="55"/>
      <c r="N695" s="55"/>
    </row>
    <row r="696" spans="1:12" s="55" customFormat="1" ht="12.75">
      <c r="A696" s="19" t="s">
        <v>9</v>
      </c>
      <c r="B696" s="124">
        <f t="shared" si="58"/>
        <v>3</v>
      </c>
      <c r="C696" s="134">
        <v>0</v>
      </c>
      <c r="D696" s="47">
        <v>0</v>
      </c>
      <c r="E696" s="47">
        <v>0</v>
      </c>
      <c r="F696" s="47">
        <v>0</v>
      </c>
      <c r="G696" s="47">
        <v>1</v>
      </c>
      <c r="H696" s="47">
        <v>2</v>
      </c>
      <c r="I696" s="39"/>
      <c r="J696" s="48">
        <v>12</v>
      </c>
      <c r="K696" s="124">
        <f t="shared" si="59"/>
        <v>15</v>
      </c>
      <c r="L696" s="75"/>
    </row>
    <row r="697" spans="1:12" s="55" customFormat="1" ht="12.75">
      <c r="A697" s="19" t="s">
        <v>10</v>
      </c>
      <c r="B697" s="124">
        <f t="shared" si="58"/>
        <v>8</v>
      </c>
      <c r="C697" s="134">
        <v>0</v>
      </c>
      <c r="D697" s="47">
        <v>0</v>
      </c>
      <c r="E697" s="47">
        <v>0</v>
      </c>
      <c r="F697" s="47">
        <v>2</v>
      </c>
      <c r="G697" s="47">
        <v>4</v>
      </c>
      <c r="H697" s="47">
        <v>2</v>
      </c>
      <c r="I697" s="39"/>
      <c r="J697" s="48">
        <v>19</v>
      </c>
      <c r="K697" s="124">
        <f t="shared" si="59"/>
        <v>27</v>
      </c>
      <c r="L697" s="75"/>
    </row>
    <row r="698" spans="1:12" s="55" customFormat="1" ht="12.75">
      <c r="A698" s="131" t="s">
        <v>11</v>
      </c>
      <c r="B698" s="124">
        <f t="shared" si="58"/>
        <v>8</v>
      </c>
      <c r="C698" s="134">
        <v>0</v>
      </c>
      <c r="D698" s="47">
        <v>0</v>
      </c>
      <c r="E698" s="47">
        <v>0</v>
      </c>
      <c r="F698" s="47">
        <v>1</v>
      </c>
      <c r="G698" s="47">
        <v>3</v>
      </c>
      <c r="H698" s="47">
        <v>4</v>
      </c>
      <c r="I698" s="39"/>
      <c r="J698" s="48">
        <v>25</v>
      </c>
      <c r="K698" s="124">
        <f t="shared" si="59"/>
        <v>33</v>
      </c>
      <c r="L698" s="75"/>
    </row>
    <row r="699" spans="1:12" s="55" customFormat="1" ht="12.75">
      <c r="A699" s="19" t="s">
        <v>12</v>
      </c>
      <c r="B699" s="124">
        <f t="shared" si="58"/>
        <v>11</v>
      </c>
      <c r="C699" s="134">
        <v>1</v>
      </c>
      <c r="D699" s="47">
        <v>0</v>
      </c>
      <c r="E699" s="47">
        <v>1</v>
      </c>
      <c r="F699" s="47">
        <v>0</v>
      </c>
      <c r="G699" s="47">
        <v>3</v>
      </c>
      <c r="H699" s="47">
        <v>6</v>
      </c>
      <c r="I699" s="39"/>
      <c r="J699" s="48">
        <v>15</v>
      </c>
      <c r="K699" s="124">
        <f t="shared" si="59"/>
        <v>26</v>
      </c>
      <c r="L699" s="75"/>
    </row>
    <row r="700" spans="1:12" s="55" customFormat="1" ht="12.75">
      <c r="A700" s="19" t="s">
        <v>13</v>
      </c>
      <c r="B700" s="124">
        <f t="shared" si="58"/>
        <v>8</v>
      </c>
      <c r="C700" s="134">
        <v>0</v>
      </c>
      <c r="D700" s="47">
        <v>0</v>
      </c>
      <c r="E700" s="47">
        <v>0</v>
      </c>
      <c r="F700" s="47">
        <v>3</v>
      </c>
      <c r="G700" s="47">
        <v>2</v>
      </c>
      <c r="H700" s="47">
        <v>3</v>
      </c>
      <c r="I700" s="39"/>
      <c r="J700" s="48">
        <v>30</v>
      </c>
      <c r="K700" s="124">
        <f t="shared" si="59"/>
        <v>38</v>
      </c>
      <c r="L700" s="75"/>
    </row>
    <row r="701" spans="1:12" s="55" customFormat="1" ht="12.75">
      <c r="A701" s="19" t="s">
        <v>14</v>
      </c>
      <c r="B701" s="124">
        <f t="shared" si="58"/>
        <v>9</v>
      </c>
      <c r="C701" s="134">
        <v>0</v>
      </c>
      <c r="D701" s="47">
        <v>1</v>
      </c>
      <c r="E701" s="47">
        <v>0</v>
      </c>
      <c r="F701" s="47">
        <v>0</v>
      </c>
      <c r="G701" s="47">
        <v>3</v>
      </c>
      <c r="H701" s="47">
        <v>5</v>
      </c>
      <c r="I701" s="39"/>
      <c r="J701" s="48">
        <v>16</v>
      </c>
      <c r="K701" s="124">
        <f t="shared" si="59"/>
        <v>25</v>
      </c>
      <c r="L701" s="75"/>
    </row>
    <row r="702" spans="1:12" s="55" customFormat="1" ht="14.25">
      <c r="A702" s="131" t="s">
        <v>229</v>
      </c>
      <c r="B702" s="124">
        <f t="shared" si="58"/>
        <v>9</v>
      </c>
      <c r="C702" s="134">
        <v>0</v>
      </c>
      <c r="D702" s="47">
        <v>2</v>
      </c>
      <c r="E702" s="47">
        <v>0</v>
      </c>
      <c r="F702" s="47">
        <v>1</v>
      </c>
      <c r="G702" s="47">
        <v>4</v>
      </c>
      <c r="H702" s="47">
        <v>2</v>
      </c>
      <c r="I702" s="39"/>
      <c r="J702" s="48">
        <v>14</v>
      </c>
      <c r="K702" s="124">
        <f t="shared" si="59"/>
        <v>23</v>
      </c>
      <c r="L702" s="75"/>
    </row>
    <row r="703" spans="1:12" s="55" customFormat="1" ht="12.75">
      <c r="A703" s="19" t="s">
        <v>15</v>
      </c>
      <c r="B703" s="124">
        <f t="shared" si="58"/>
        <v>12</v>
      </c>
      <c r="C703" s="134">
        <v>1</v>
      </c>
      <c r="D703" s="47">
        <v>1</v>
      </c>
      <c r="E703" s="47">
        <v>0</v>
      </c>
      <c r="F703" s="47">
        <v>0</v>
      </c>
      <c r="G703" s="47">
        <v>8</v>
      </c>
      <c r="H703" s="47">
        <v>2</v>
      </c>
      <c r="I703" s="39"/>
      <c r="J703" s="48">
        <v>33</v>
      </c>
      <c r="K703" s="124">
        <f t="shared" si="59"/>
        <v>45</v>
      </c>
      <c r="L703" s="75"/>
    </row>
    <row r="704" spans="1:12" s="55" customFormat="1" ht="12.75">
      <c r="A704" s="19" t="s">
        <v>16</v>
      </c>
      <c r="B704" s="124">
        <f t="shared" si="58"/>
        <v>8</v>
      </c>
      <c r="C704" s="134">
        <v>0</v>
      </c>
      <c r="D704" s="47">
        <v>1</v>
      </c>
      <c r="E704" s="47">
        <v>0</v>
      </c>
      <c r="F704" s="47">
        <v>0</v>
      </c>
      <c r="G704" s="47">
        <v>5</v>
      </c>
      <c r="H704" s="47">
        <v>2</v>
      </c>
      <c r="I704" s="39"/>
      <c r="J704" s="48">
        <v>17</v>
      </c>
      <c r="K704" s="124">
        <f t="shared" si="59"/>
        <v>25</v>
      </c>
      <c r="L704" s="75"/>
    </row>
    <row r="705" spans="1:12" s="55" customFormat="1" ht="12.75">
      <c r="A705" s="19" t="s">
        <v>17</v>
      </c>
      <c r="B705" s="124">
        <f t="shared" si="58"/>
        <v>6</v>
      </c>
      <c r="C705" s="134">
        <v>0</v>
      </c>
      <c r="D705" s="47">
        <v>0</v>
      </c>
      <c r="E705" s="47">
        <v>0</v>
      </c>
      <c r="F705" s="47">
        <v>0</v>
      </c>
      <c r="G705" s="47">
        <v>4</v>
      </c>
      <c r="H705" s="47">
        <v>2</v>
      </c>
      <c r="I705" s="39"/>
      <c r="J705" s="48">
        <v>13</v>
      </c>
      <c r="K705" s="124">
        <f t="shared" si="59"/>
        <v>19</v>
      </c>
      <c r="L705" s="75"/>
    </row>
    <row r="706" spans="1:12" s="55" customFormat="1" ht="12.75">
      <c r="A706" s="132" t="s">
        <v>23</v>
      </c>
      <c r="B706" s="122">
        <f t="shared" si="58"/>
        <v>114</v>
      </c>
      <c r="C706" s="133">
        <f aca="true" t="shared" si="60" ref="C706:H706">SUM(C687:C705)</f>
        <v>3</v>
      </c>
      <c r="D706" s="92">
        <f t="shared" si="60"/>
        <v>6</v>
      </c>
      <c r="E706" s="92">
        <f t="shared" si="60"/>
        <v>2</v>
      </c>
      <c r="F706" s="92">
        <f t="shared" si="60"/>
        <v>16</v>
      </c>
      <c r="G706" s="92">
        <f t="shared" si="60"/>
        <v>45</v>
      </c>
      <c r="H706" s="92">
        <f t="shared" si="60"/>
        <v>42</v>
      </c>
      <c r="I706" s="39"/>
      <c r="J706" s="92">
        <f>SUM(J687:J705)</f>
        <v>318</v>
      </c>
      <c r="K706" s="122">
        <f t="shared" si="59"/>
        <v>432</v>
      </c>
      <c r="L706" s="75"/>
    </row>
    <row r="707" spans="1:9" s="55" customFormat="1" ht="12.75">
      <c r="A707" s="19" t="s">
        <v>238</v>
      </c>
      <c r="B707" s="20"/>
      <c r="C707" s="56"/>
      <c r="I707" s="20"/>
    </row>
    <row r="708" spans="1:9" s="55" customFormat="1" ht="12.75">
      <c r="A708" s="19" t="s">
        <v>239</v>
      </c>
      <c r="B708" s="20"/>
      <c r="C708" s="56"/>
      <c r="I708" s="20"/>
    </row>
    <row r="709" spans="1:9" s="55" customFormat="1" ht="12.75">
      <c r="A709" s="20"/>
      <c r="B709" s="20"/>
      <c r="C709" s="56"/>
      <c r="I709" s="20"/>
    </row>
    <row r="710" spans="1:9" s="55" customFormat="1" ht="12.75">
      <c r="A710" s="20"/>
      <c r="B710" s="20"/>
      <c r="C710" s="56"/>
      <c r="I710" s="20"/>
    </row>
    <row r="711" spans="3:9" s="55" customFormat="1" ht="12.75">
      <c r="C711" s="56"/>
      <c r="I711" s="20"/>
    </row>
    <row r="712" spans="1:9" s="55" customFormat="1" ht="12.75">
      <c r="A712" s="126" t="s">
        <v>245</v>
      </c>
      <c r="B712" s="126"/>
      <c r="C712" s="56"/>
      <c r="I712" s="20"/>
    </row>
    <row r="713" spans="1:10" s="55" customFormat="1" ht="12.75">
      <c r="A713" s="20"/>
      <c r="B713" s="20"/>
      <c r="C713" s="78"/>
      <c r="D713" s="78"/>
      <c r="E713" s="78"/>
      <c r="F713" s="78"/>
      <c r="G713" s="78"/>
      <c r="H713" s="78"/>
      <c r="I713" s="129"/>
      <c r="J713" s="127"/>
    </row>
    <row r="714" spans="1:11" s="55" customFormat="1" ht="12.75">
      <c r="A714" s="128"/>
      <c r="B714" s="120"/>
      <c r="C714" s="283" t="s">
        <v>248</v>
      </c>
      <c r="D714" s="284"/>
      <c r="E714" s="284"/>
      <c r="F714" s="285"/>
      <c r="G714" s="283" t="s">
        <v>237</v>
      </c>
      <c r="H714" s="285"/>
      <c r="I714" s="129"/>
      <c r="J714" s="86"/>
      <c r="K714" s="86"/>
    </row>
    <row r="715" spans="1:11" s="55" customFormat="1" ht="12.75">
      <c r="A715" s="19"/>
      <c r="B715" s="2"/>
      <c r="C715" s="91" t="s">
        <v>233</v>
      </c>
      <c r="D715" s="82" t="s">
        <v>233</v>
      </c>
      <c r="E715" s="86"/>
      <c r="F715" s="91"/>
      <c r="G715" s="81"/>
      <c r="H715" s="81"/>
      <c r="I715" s="129"/>
      <c r="J715" s="81"/>
      <c r="K715" s="81"/>
    </row>
    <row r="716" spans="1:11" s="55" customFormat="1" ht="12.75">
      <c r="A716" s="19"/>
      <c r="B716" s="2"/>
      <c r="C716" s="81" t="s">
        <v>234</v>
      </c>
      <c r="D716" s="82" t="s">
        <v>234</v>
      </c>
      <c r="E716" s="80"/>
      <c r="F716" s="81"/>
      <c r="G716" s="81"/>
      <c r="H716" s="81"/>
      <c r="I716" s="129"/>
      <c r="J716" s="81" t="s">
        <v>225</v>
      </c>
      <c r="K716" s="81"/>
    </row>
    <row r="717" spans="1:11" s="55" customFormat="1" ht="12.75">
      <c r="A717" s="19"/>
      <c r="B717" s="2"/>
      <c r="C717" s="81" t="s">
        <v>231</v>
      </c>
      <c r="D717" s="82" t="s">
        <v>231</v>
      </c>
      <c r="E717" s="81" t="s">
        <v>233</v>
      </c>
      <c r="F717" s="81" t="s">
        <v>233</v>
      </c>
      <c r="G717" s="81" t="s">
        <v>233</v>
      </c>
      <c r="H717" s="81" t="s">
        <v>233</v>
      </c>
      <c r="I717" s="129"/>
      <c r="J717" s="81" t="s">
        <v>48</v>
      </c>
      <c r="K717" s="81" t="s">
        <v>198</v>
      </c>
    </row>
    <row r="718" spans="1:11" s="55" customFormat="1" ht="12.75">
      <c r="A718" s="19"/>
      <c r="B718" s="2"/>
      <c r="C718" s="81" t="s">
        <v>227</v>
      </c>
      <c r="D718" s="82" t="s">
        <v>232</v>
      </c>
      <c r="E718" s="81" t="s">
        <v>235</v>
      </c>
      <c r="F718" s="81" t="s">
        <v>236</v>
      </c>
      <c r="G718" s="81" t="s">
        <v>235</v>
      </c>
      <c r="H718" s="81" t="s">
        <v>236</v>
      </c>
      <c r="I718" s="129"/>
      <c r="J718" s="81" t="s">
        <v>223</v>
      </c>
      <c r="K718" s="81" t="s">
        <v>205</v>
      </c>
    </row>
    <row r="719" spans="1:11" s="55" customFormat="1" ht="14.25">
      <c r="A719" s="130"/>
      <c r="B719" s="17" t="s">
        <v>159</v>
      </c>
      <c r="C719" s="83" t="s">
        <v>226</v>
      </c>
      <c r="D719" s="90" t="s">
        <v>226</v>
      </c>
      <c r="E719" s="83" t="s">
        <v>62</v>
      </c>
      <c r="F719" s="83" t="s">
        <v>48</v>
      </c>
      <c r="G719" s="83" t="s">
        <v>62</v>
      </c>
      <c r="H719" s="83" t="s">
        <v>48</v>
      </c>
      <c r="I719" s="129"/>
      <c r="J719" s="83" t="s">
        <v>224</v>
      </c>
      <c r="K719" s="83" t="s">
        <v>259</v>
      </c>
    </row>
    <row r="720" spans="1:12" s="55" customFormat="1" ht="12.75">
      <c r="A720" s="19" t="s">
        <v>0</v>
      </c>
      <c r="B720" s="124">
        <f>C720+D720+E720+F720+G720+H720</f>
        <v>5</v>
      </c>
      <c r="C720" s="134">
        <v>0</v>
      </c>
      <c r="D720" s="47">
        <v>0</v>
      </c>
      <c r="E720" s="47">
        <v>0</v>
      </c>
      <c r="F720" s="47">
        <v>1</v>
      </c>
      <c r="G720" s="47">
        <v>2</v>
      </c>
      <c r="H720" s="47">
        <v>2</v>
      </c>
      <c r="I720" s="39"/>
      <c r="J720" s="46">
        <v>13</v>
      </c>
      <c r="K720" s="124">
        <f>B720+J720</f>
        <v>18</v>
      </c>
      <c r="L720" s="75"/>
    </row>
    <row r="721" spans="1:12" s="55" customFormat="1" ht="12.75">
      <c r="A721" s="19" t="s">
        <v>1</v>
      </c>
      <c r="B721" s="124">
        <f aca="true" t="shared" si="61" ref="B721:B739">C721+D721+E721+F721+G721+H721</f>
        <v>1</v>
      </c>
      <c r="C721" s="134">
        <v>0</v>
      </c>
      <c r="D721" s="47">
        <v>0</v>
      </c>
      <c r="E721" s="47">
        <v>0</v>
      </c>
      <c r="F721" s="47">
        <v>0</v>
      </c>
      <c r="G721" s="47">
        <v>0</v>
      </c>
      <c r="H721" s="47">
        <v>1</v>
      </c>
      <c r="I721" s="39"/>
      <c r="J721" s="48">
        <v>21</v>
      </c>
      <c r="K721" s="124">
        <f aca="true" t="shared" si="62" ref="K721:K739">B721+J721</f>
        <v>22</v>
      </c>
      <c r="L721" s="75"/>
    </row>
    <row r="722" spans="1:12" s="55" customFormat="1" ht="12.75">
      <c r="A722" s="19" t="s">
        <v>2</v>
      </c>
      <c r="B722" s="124">
        <f t="shared" si="61"/>
        <v>0</v>
      </c>
      <c r="C722" s="134">
        <v>0</v>
      </c>
      <c r="D722" s="47">
        <v>0</v>
      </c>
      <c r="E722" s="47">
        <v>0</v>
      </c>
      <c r="F722" s="47">
        <v>0</v>
      </c>
      <c r="G722" s="47">
        <v>0</v>
      </c>
      <c r="H722" s="47">
        <v>0</v>
      </c>
      <c r="I722" s="39"/>
      <c r="J722" s="48">
        <v>1</v>
      </c>
      <c r="K722" s="124">
        <f t="shared" si="62"/>
        <v>1</v>
      </c>
      <c r="L722" s="75"/>
    </row>
    <row r="723" spans="1:12" s="55" customFormat="1" ht="12.75">
      <c r="A723" s="19" t="s">
        <v>3</v>
      </c>
      <c r="B723" s="124">
        <f t="shared" si="61"/>
        <v>8</v>
      </c>
      <c r="C723" s="134">
        <v>0</v>
      </c>
      <c r="D723" s="47">
        <v>1</v>
      </c>
      <c r="E723" s="47">
        <v>1</v>
      </c>
      <c r="F723" s="47">
        <v>1</v>
      </c>
      <c r="G723" s="47">
        <v>2</v>
      </c>
      <c r="H723" s="47">
        <v>3</v>
      </c>
      <c r="I723" s="39"/>
      <c r="J723" s="48">
        <v>14</v>
      </c>
      <c r="K723" s="124">
        <f t="shared" si="62"/>
        <v>22</v>
      </c>
      <c r="L723" s="75"/>
    </row>
    <row r="724" spans="1:12" s="55" customFormat="1" ht="12.75">
      <c r="A724" s="19" t="s">
        <v>4</v>
      </c>
      <c r="B724" s="124">
        <f t="shared" si="61"/>
        <v>6</v>
      </c>
      <c r="C724" s="134">
        <v>0</v>
      </c>
      <c r="D724" s="47">
        <v>0</v>
      </c>
      <c r="E724" s="47">
        <v>0</v>
      </c>
      <c r="F724" s="47">
        <v>1</v>
      </c>
      <c r="G724" s="47">
        <v>0</v>
      </c>
      <c r="H724" s="47">
        <v>5</v>
      </c>
      <c r="I724" s="39"/>
      <c r="J724" s="48">
        <v>20</v>
      </c>
      <c r="K724" s="124">
        <f t="shared" si="62"/>
        <v>26</v>
      </c>
      <c r="L724" s="75"/>
    </row>
    <row r="725" spans="1:12" s="55" customFormat="1" ht="14.25">
      <c r="A725" s="19" t="s">
        <v>230</v>
      </c>
      <c r="B725" s="124">
        <f t="shared" si="61"/>
        <v>6</v>
      </c>
      <c r="C725" s="134">
        <v>0</v>
      </c>
      <c r="D725" s="47">
        <v>0</v>
      </c>
      <c r="E725" s="47">
        <v>0</v>
      </c>
      <c r="F725" s="47">
        <v>0</v>
      </c>
      <c r="G725" s="47">
        <v>2</v>
      </c>
      <c r="H725" s="47">
        <v>4</v>
      </c>
      <c r="I725" s="39"/>
      <c r="J725" s="48">
        <v>14</v>
      </c>
      <c r="K725" s="124">
        <f t="shared" si="62"/>
        <v>20</v>
      </c>
      <c r="L725" s="75"/>
    </row>
    <row r="726" spans="1:12" s="55" customFormat="1" ht="12.75">
      <c r="A726" s="19" t="s">
        <v>6</v>
      </c>
      <c r="B726" s="124">
        <f t="shared" si="61"/>
        <v>1</v>
      </c>
      <c r="C726" s="134">
        <v>0</v>
      </c>
      <c r="D726" s="47">
        <v>0</v>
      </c>
      <c r="E726" s="47">
        <v>0</v>
      </c>
      <c r="F726" s="47">
        <v>0</v>
      </c>
      <c r="G726" s="47">
        <v>0</v>
      </c>
      <c r="H726" s="47">
        <v>1</v>
      </c>
      <c r="I726" s="39"/>
      <c r="J726" s="48">
        <v>13</v>
      </c>
      <c r="K726" s="124">
        <f t="shared" si="62"/>
        <v>14</v>
      </c>
      <c r="L726" s="75"/>
    </row>
    <row r="727" spans="1:14" s="20" customFormat="1" ht="12.75">
      <c r="A727" s="131" t="s">
        <v>7</v>
      </c>
      <c r="B727" s="124">
        <f t="shared" si="61"/>
        <v>3</v>
      </c>
      <c r="C727" s="134">
        <v>0</v>
      </c>
      <c r="D727" s="47">
        <v>0</v>
      </c>
      <c r="E727" s="47">
        <v>0</v>
      </c>
      <c r="F727" s="47">
        <v>1</v>
      </c>
      <c r="G727" s="47">
        <v>2</v>
      </c>
      <c r="H727" s="47">
        <v>0</v>
      </c>
      <c r="I727" s="39"/>
      <c r="J727" s="48">
        <v>15</v>
      </c>
      <c r="K727" s="124">
        <f t="shared" si="62"/>
        <v>18</v>
      </c>
      <c r="L727" s="75"/>
      <c r="M727" s="55"/>
      <c r="N727" s="55"/>
    </row>
    <row r="728" spans="1:14" s="20" customFormat="1" ht="12.75">
      <c r="A728" s="19" t="s">
        <v>8</v>
      </c>
      <c r="B728" s="124">
        <f t="shared" si="61"/>
        <v>2</v>
      </c>
      <c r="C728" s="134">
        <v>0</v>
      </c>
      <c r="D728" s="47">
        <v>0</v>
      </c>
      <c r="E728" s="47">
        <v>0</v>
      </c>
      <c r="F728" s="47">
        <v>0</v>
      </c>
      <c r="G728" s="47">
        <v>1</v>
      </c>
      <c r="H728" s="47">
        <v>1</v>
      </c>
      <c r="I728" s="39"/>
      <c r="J728" s="48">
        <v>13</v>
      </c>
      <c r="K728" s="124">
        <f t="shared" si="62"/>
        <v>15</v>
      </c>
      <c r="L728" s="75"/>
      <c r="M728" s="55"/>
      <c r="N728" s="55"/>
    </row>
    <row r="729" spans="1:12" s="55" customFormat="1" ht="12.75">
      <c r="A729" s="19" t="s">
        <v>9</v>
      </c>
      <c r="B729" s="124">
        <f t="shared" si="61"/>
        <v>3</v>
      </c>
      <c r="C729" s="134">
        <v>0</v>
      </c>
      <c r="D729" s="47">
        <v>0</v>
      </c>
      <c r="E729" s="47">
        <v>0</v>
      </c>
      <c r="F729" s="47">
        <v>0</v>
      </c>
      <c r="G729" s="47">
        <v>1</v>
      </c>
      <c r="H729" s="47">
        <v>2</v>
      </c>
      <c r="I729" s="39"/>
      <c r="J729" s="48">
        <v>12</v>
      </c>
      <c r="K729" s="124">
        <f t="shared" si="62"/>
        <v>15</v>
      </c>
      <c r="L729" s="75"/>
    </row>
    <row r="730" spans="1:12" s="55" customFormat="1" ht="12.75">
      <c r="A730" s="19" t="s">
        <v>10</v>
      </c>
      <c r="B730" s="124">
        <f t="shared" si="61"/>
        <v>8</v>
      </c>
      <c r="C730" s="134">
        <v>0</v>
      </c>
      <c r="D730" s="47">
        <v>0</v>
      </c>
      <c r="E730" s="47">
        <v>0</v>
      </c>
      <c r="F730" s="47">
        <v>1</v>
      </c>
      <c r="G730" s="47">
        <v>4</v>
      </c>
      <c r="H730" s="47">
        <v>3</v>
      </c>
      <c r="I730" s="39"/>
      <c r="J730" s="48">
        <v>19</v>
      </c>
      <c r="K730" s="124">
        <f t="shared" si="62"/>
        <v>27</v>
      </c>
      <c r="L730" s="75"/>
    </row>
    <row r="731" spans="1:12" s="55" customFormat="1" ht="12.75">
      <c r="A731" s="131" t="s">
        <v>11</v>
      </c>
      <c r="B731" s="124">
        <f t="shared" si="61"/>
        <v>7</v>
      </c>
      <c r="C731" s="134">
        <v>0</v>
      </c>
      <c r="D731" s="47">
        <v>0</v>
      </c>
      <c r="E731" s="47">
        <v>0</v>
      </c>
      <c r="F731" s="47">
        <v>1</v>
      </c>
      <c r="G731" s="47">
        <v>3</v>
      </c>
      <c r="H731" s="47">
        <v>3</v>
      </c>
      <c r="I731" s="39"/>
      <c r="J731" s="48">
        <v>26</v>
      </c>
      <c r="K731" s="124">
        <f t="shared" si="62"/>
        <v>33</v>
      </c>
      <c r="L731" s="75"/>
    </row>
    <row r="732" spans="1:12" s="55" customFormat="1" ht="12.75">
      <c r="A732" s="19" t="s">
        <v>12</v>
      </c>
      <c r="B732" s="124">
        <f t="shared" si="61"/>
        <v>14</v>
      </c>
      <c r="C732" s="134">
        <v>1</v>
      </c>
      <c r="D732" s="47">
        <v>1</v>
      </c>
      <c r="E732" s="47">
        <v>0</v>
      </c>
      <c r="F732" s="47">
        <v>1</v>
      </c>
      <c r="G732" s="47">
        <v>2</v>
      </c>
      <c r="H732" s="47">
        <v>9</v>
      </c>
      <c r="I732" s="39"/>
      <c r="J732" s="48">
        <v>12</v>
      </c>
      <c r="K732" s="124">
        <f t="shared" si="62"/>
        <v>26</v>
      </c>
      <c r="L732" s="75"/>
    </row>
    <row r="733" spans="1:12" s="55" customFormat="1" ht="12.75">
      <c r="A733" s="19" t="s">
        <v>13</v>
      </c>
      <c r="B733" s="124">
        <f t="shared" si="61"/>
        <v>8</v>
      </c>
      <c r="C733" s="134">
        <v>0</v>
      </c>
      <c r="D733" s="47">
        <v>0</v>
      </c>
      <c r="E733" s="47">
        <v>0</v>
      </c>
      <c r="F733" s="47">
        <v>1</v>
      </c>
      <c r="G733" s="47">
        <v>2</v>
      </c>
      <c r="H733" s="47">
        <v>5</v>
      </c>
      <c r="I733" s="39"/>
      <c r="J733" s="48">
        <v>30</v>
      </c>
      <c r="K733" s="124">
        <f t="shared" si="62"/>
        <v>38</v>
      </c>
      <c r="L733" s="75"/>
    </row>
    <row r="734" spans="1:12" s="55" customFormat="1" ht="12.75">
      <c r="A734" s="19" t="s">
        <v>14</v>
      </c>
      <c r="B734" s="124">
        <f t="shared" si="61"/>
        <v>7</v>
      </c>
      <c r="C734" s="134">
        <v>0</v>
      </c>
      <c r="D734" s="47">
        <v>0</v>
      </c>
      <c r="E734" s="47">
        <v>0</v>
      </c>
      <c r="F734" s="47">
        <v>1</v>
      </c>
      <c r="G734" s="47">
        <v>4</v>
      </c>
      <c r="H734" s="47">
        <v>2</v>
      </c>
      <c r="I734" s="39"/>
      <c r="J734" s="48">
        <v>18</v>
      </c>
      <c r="K734" s="124">
        <f t="shared" si="62"/>
        <v>25</v>
      </c>
      <c r="L734" s="75"/>
    </row>
    <row r="735" spans="1:12" s="55" customFormat="1" ht="14.25">
      <c r="A735" s="131" t="s">
        <v>229</v>
      </c>
      <c r="B735" s="124">
        <f t="shared" si="61"/>
        <v>11</v>
      </c>
      <c r="C735" s="134">
        <v>0</v>
      </c>
      <c r="D735" s="47">
        <v>2</v>
      </c>
      <c r="E735" s="47">
        <v>2</v>
      </c>
      <c r="F735" s="47">
        <v>1</v>
      </c>
      <c r="G735" s="47">
        <v>2</v>
      </c>
      <c r="H735" s="47">
        <v>4</v>
      </c>
      <c r="I735" s="39"/>
      <c r="J735" s="48">
        <v>12</v>
      </c>
      <c r="K735" s="124">
        <f t="shared" si="62"/>
        <v>23</v>
      </c>
      <c r="L735" s="75"/>
    </row>
    <row r="736" spans="1:12" s="55" customFormat="1" ht="12.75">
      <c r="A736" s="19" t="s">
        <v>15</v>
      </c>
      <c r="B736" s="124">
        <f t="shared" si="61"/>
        <v>17</v>
      </c>
      <c r="C736" s="134">
        <v>1</v>
      </c>
      <c r="D736" s="47">
        <v>0</v>
      </c>
      <c r="E736" s="47">
        <v>1</v>
      </c>
      <c r="F736" s="47">
        <v>1</v>
      </c>
      <c r="G736" s="47">
        <v>11</v>
      </c>
      <c r="H736" s="47">
        <v>3</v>
      </c>
      <c r="I736" s="39"/>
      <c r="J736" s="48">
        <v>28</v>
      </c>
      <c r="K736" s="124">
        <f t="shared" si="62"/>
        <v>45</v>
      </c>
      <c r="L736" s="75"/>
    </row>
    <row r="737" spans="1:12" s="55" customFormat="1" ht="12.75">
      <c r="A737" s="19" t="s">
        <v>16</v>
      </c>
      <c r="B737" s="124">
        <f t="shared" si="61"/>
        <v>5</v>
      </c>
      <c r="C737" s="134">
        <v>1</v>
      </c>
      <c r="D737" s="47">
        <v>0</v>
      </c>
      <c r="E737" s="47">
        <v>0</v>
      </c>
      <c r="F737" s="47">
        <v>0</v>
      </c>
      <c r="G737" s="47">
        <v>3</v>
      </c>
      <c r="H737" s="47">
        <v>1</v>
      </c>
      <c r="I737" s="39"/>
      <c r="J737" s="48">
        <v>20</v>
      </c>
      <c r="K737" s="124">
        <f t="shared" si="62"/>
        <v>25</v>
      </c>
      <c r="L737" s="75"/>
    </row>
    <row r="738" spans="1:12" s="55" customFormat="1" ht="12.75">
      <c r="A738" s="19" t="s">
        <v>17</v>
      </c>
      <c r="B738" s="124">
        <f t="shared" si="61"/>
        <v>5</v>
      </c>
      <c r="C738" s="134">
        <v>0</v>
      </c>
      <c r="D738" s="47">
        <v>2</v>
      </c>
      <c r="E738" s="47">
        <v>0</v>
      </c>
      <c r="F738" s="47">
        <v>1</v>
      </c>
      <c r="G738" s="47">
        <v>2</v>
      </c>
      <c r="H738" s="47">
        <v>0</v>
      </c>
      <c r="I738" s="39"/>
      <c r="J738" s="48">
        <v>14</v>
      </c>
      <c r="K738" s="124">
        <f t="shared" si="62"/>
        <v>19</v>
      </c>
      <c r="L738" s="75"/>
    </row>
    <row r="739" spans="1:12" s="55" customFormat="1" ht="12.75">
      <c r="A739" s="132" t="s">
        <v>23</v>
      </c>
      <c r="B739" s="122">
        <f t="shared" si="61"/>
        <v>117</v>
      </c>
      <c r="C739" s="133">
        <f aca="true" t="shared" si="63" ref="C739:H739">SUM(C720:C738)</f>
        <v>3</v>
      </c>
      <c r="D739" s="92">
        <f t="shared" si="63"/>
        <v>6</v>
      </c>
      <c r="E739" s="92">
        <f t="shared" si="63"/>
        <v>4</v>
      </c>
      <c r="F739" s="92">
        <f t="shared" si="63"/>
        <v>12</v>
      </c>
      <c r="G739" s="92">
        <f t="shared" si="63"/>
        <v>43</v>
      </c>
      <c r="H739" s="92">
        <f t="shared" si="63"/>
        <v>49</v>
      </c>
      <c r="I739" s="39"/>
      <c r="J739" s="92">
        <f>SUM(J720:J738)</f>
        <v>315</v>
      </c>
      <c r="K739" s="122">
        <f t="shared" si="62"/>
        <v>432</v>
      </c>
      <c r="L739" s="75"/>
    </row>
    <row r="740" spans="1:9" s="55" customFormat="1" ht="12.75">
      <c r="A740" s="19" t="s">
        <v>238</v>
      </c>
      <c r="B740" s="20"/>
      <c r="C740" s="56"/>
      <c r="I740" s="20"/>
    </row>
    <row r="741" spans="1:9" s="55" customFormat="1" ht="12.75">
      <c r="A741" s="19" t="s">
        <v>239</v>
      </c>
      <c r="B741" s="20"/>
      <c r="C741" s="56"/>
      <c r="I741" s="20"/>
    </row>
    <row r="742" spans="1:9" s="55" customFormat="1" ht="12.75">
      <c r="A742" s="20"/>
      <c r="B742" s="20"/>
      <c r="C742" s="56"/>
      <c r="I742" s="20"/>
    </row>
    <row r="743" spans="1:9" s="55" customFormat="1" ht="12.75">
      <c r="A743" s="20"/>
      <c r="B743" s="20"/>
      <c r="C743" s="56"/>
      <c r="I743" s="20"/>
    </row>
    <row r="744" spans="3:9" s="55" customFormat="1" ht="12.75">
      <c r="C744" s="56"/>
      <c r="I744" s="20"/>
    </row>
    <row r="745" spans="1:9" s="55" customFormat="1" ht="12.75">
      <c r="A745" s="126" t="s">
        <v>246</v>
      </c>
      <c r="B745" s="126"/>
      <c r="C745" s="56"/>
      <c r="I745" s="20"/>
    </row>
    <row r="746" spans="1:10" s="55" customFormat="1" ht="12.75">
      <c r="A746" s="20"/>
      <c r="B746" s="20"/>
      <c r="C746" s="78"/>
      <c r="D746" s="78"/>
      <c r="E746" s="78"/>
      <c r="F746" s="78"/>
      <c r="G746" s="78"/>
      <c r="H746" s="78"/>
      <c r="I746" s="129"/>
      <c r="J746" s="127"/>
    </row>
    <row r="747" spans="1:11" s="55" customFormat="1" ht="12.75">
      <c r="A747" s="128"/>
      <c r="B747" s="120"/>
      <c r="C747" s="283" t="s">
        <v>248</v>
      </c>
      <c r="D747" s="284"/>
      <c r="E747" s="284"/>
      <c r="F747" s="285"/>
      <c r="G747" s="283" t="s">
        <v>237</v>
      </c>
      <c r="H747" s="285"/>
      <c r="I747" s="129"/>
      <c r="J747" s="86"/>
      <c r="K747" s="86"/>
    </row>
    <row r="748" spans="1:11" s="55" customFormat="1" ht="12.75">
      <c r="A748" s="19"/>
      <c r="B748" s="2"/>
      <c r="C748" s="91" t="s">
        <v>233</v>
      </c>
      <c r="D748" s="82" t="s">
        <v>233</v>
      </c>
      <c r="E748" s="86"/>
      <c r="F748" s="91"/>
      <c r="G748" s="81"/>
      <c r="H748" s="81"/>
      <c r="I748" s="129"/>
      <c r="J748" s="81"/>
      <c r="K748" s="81"/>
    </row>
    <row r="749" spans="1:11" s="55" customFormat="1" ht="12.75">
      <c r="A749" s="19"/>
      <c r="B749" s="2"/>
      <c r="C749" s="81" t="s">
        <v>234</v>
      </c>
      <c r="D749" s="82" t="s">
        <v>234</v>
      </c>
      <c r="E749" s="80"/>
      <c r="F749" s="81"/>
      <c r="G749" s="81"/>
      <c r="H749" s="81"/>
      <c r="I749" s="129"/>
      <c r="J749" s="81" t="s">
        <v>225</v>
      </c>
      <c r="K749" s="81"/>
    </row>
    <row r="750" spans="1:11" s="55" customFormat="1" ht="12.75">
      <c r="A750" s="19"/>
      <c r="B750" s="2"/>
      <c r="C750" s="81" t="s">
        <v>231</v>
      </c>
      <c r="D750" s="82" t="s">
        <v>231</v>
      </c>
      <c r="E750" s="81" t="s">
        <v>233</v>
      </c>
      <c r="F750" s="81" t="s">
        <v>233</v>
      </c>
      <c r="G750" s="81" t="s">
        <v>233</v>
      </c>
      <c r="H750" s="81" t="s">
        <v>233</v>
      </c>
      <c r="I750" s="129"/>
      <c r="J750" s="81" t="s">
        <v>48</v>
      </c>
      <c r="K750" s="81" t="s">
        <v>198</v>
      </c>
    </row>
    <row r="751" spans="1:11" s="55" customFormat="1" ht="12.75">
      <c r="A751" s="19"/>
      <c r="B751" s="2"/>
      <c r="C751" s="81" t="s">
        <v>227</v>
      </c>
      <c r="D751" s="82" t="s">
        <v>232</v>
      </c>
      <c r="E751" s="81" t="s">
        <v>235</v>
      </c>
      <c r="F751" s="81" t="s">
        <v>236</v>
      </c>
      <c r="G751" s="81" t="s">
        <v>235</v>
      </c>
      <c r="H751" s="81" t="s">
        <v>236</v>
      </c>
      <c r="I751" s="129"/>
      <c r="J751" s="81" t="s">
        <v>223</v>
      </c>
      <c r="K751" s="81" t="s">
        <v>205</v>
      </c>
    </row>
    <row r="752" spans="1:11" s="55" customFormat="1" ht="14.25">
      <c r="A752" s="130"/>
      <c r="B752" s="17" t="s">
        <v>159</v>
      </c>
      <c r="C752" s="83" t="s">
        <v>226</v>
      </c>
      <c r="D752" s="90" t="s">
        <v>226</v>
      </c>
      <c r="E752" s="83" t="s">
        <v>62</v>
      </c>
      <c r="F752" s="83" t="s">
        <v>48</v>
      </c>
      <c r="G752" s="83" t="s">
        <v>62</v>
      </c>
      <c r="H752" s="83" t="s">
        <v>48</v>
      </c>
      <c r="I752" s="129"/>
      <c r="J752" s="83" t="s">
        <v>224</v>
      </c>
      <c r="K752" s="83" t="s">
        <v>259</v>
      </c>
    </row>
    <row r="753" spans="1:11" s="55" customFormat="1" ht="12.75">
      <c r="A753" s="19" t="s">
        <v>0</v>
      </c>
      <c r="B753" s="124">
        <f>C753+D753+E753+F753+G753+H753</f>
        <v>6</v>
      </c>
      <c r="C753" s="134">
        <v>0</v>
      </c>
      <c r="D753" s="47">
        <v>0</v>
      </c>
      <c r="E753" s="47">
        <v>0</v>
      </c>
      <c r="F753" s="47">
        <v>1</v>
      </c>
      <c r="G753" s="47">
        <v>2</v>
      </c>
      <c r="H753" s="47">
        <v>3</v>
      </c>
      <c r="I753" s="39"/>
      <c r="J753" s="46">
        <v>12</v>
      </c>
      <c r="K753" s="124">
        <f>B753+J753</f>
        <v>18</v>
      </c>
    </row>
    <row r="754" spans="1:11" s="55" customFormat="1" ht="12.75">
      <c r="A754" s="19" t="s">
        <v>1</v>
      </c>
      <c r="B754" s="124">
        <f aca="true" t="shared" si="64" ref="B754:B772">C754+D754+E754+F754+G754+H754</f>
        <v>4</v>
      </c>
      <c r="C754" s="134">
        <v>0</v>
      </c>
      <c r="D754" s="47">
        <v>0</v>
      </c>
      <c r="E754" s="47">
        <v>0</v>
      </c>
      <c r="F754" s="47">
        <v>1</v>
      </c>
      <c r="G754" s="47">
        <v>0</v>
      </c>
      <c r="H754" s="47">
        <v>3</v>
      </c>
      <c r="I754" s="39"/>
      <c r="J754" s="48">
        <v>18</v>
      </c>
      <c r="K754" s="124">
        <f aca="true" t="shared" si="65" ref="K754:K772">B754+J754</f>
        <v>22</v>
      </c>
    </row>
    <row r="755" spans="1:11" s="55" customFormat="1" ht="12.75">
      <c r="A755" s="19" t="s">
        <v>2</v>
      </c>
      <c r="B755" s="124">
        <f t="shared" si="64"/>
        <v>0</v>
      </c>
      <c r="C755" s="134">
        <v>0</v>
      </c>
      <c r="D755" s="47">
        <v>0</v>
      </c>
      <c r="E755" s="47">
        <v>0</v>
      </c>
      <c r="F755" s="47">
        <v>0</v>
      </c>
      <c r="G755" s="47">
        <v>0</v>
      </c>
      <c r="H755" s="47">
        <v>0</v>
      </c>
      <c r="I755" s="39"/>
      <c r="J755" s="48">
        <v>1</v>
      </c>
      <c r="K755" s="124">
        <f t="shared" si="65"/>
        <v>1</v>
      </c>
    </row>
    <row r="756" spans="1:11" s="55" customFormat="1" ht="12.75">
      <c r="A756" s="19" t="s">
        <v>3</v>
      </c>
      <c r="B756" s="124">
        <f t="shared" si="64"/>
        <v>7</v>
      </c>
      <c r="C756" s="134">
        <v>0</v>
      </c>
      <c r="D756" s="47">
        <v>1</v>
      </c>
      <c r="E756" s="47">
        <v>1</v>
      </c>
      <c r="F756" s="47">
        <v>2</v>
      </c>
      <c r="G756" s="47">
        <v>1</v>
      </c>
      <c r="H756" s="47">
        <v>2</v>
      </c>
      <c r="I756" s="39"/>
      <c r="J756" s="48">
        <v>15</v>
      </c>
      <c r="K756" s="124">
        <f t="shared" si="65"/>
        <v>22</v>
      </c>
    </row>
    <row r="757" spans="1:11" s="55" customFormat="1" ht="12.75">
      <c r="A757" s="19" t="s">
        <v>4</v>
      </c>
      <c r="B757" s="124">
        <f t="shared" si="64"/>
        <v>10</v>
      </c>
      <c r="C757" s="134">
        <v>0</v>
      </c>
      <c r="D757" s="47">
        <v>0</v>
      </c>
      <c r="E757" s="47">
        <v>0</v>
      </c>
      <c r="F757" s="47">
        <v>3</v>
      </c>
      <c r="G757" s="47">
        <v>0</v>
      </c>
      <c r="H757" s="47">
        <v>7</v>
      </c>
      <c r="I757" s="39"/>
      <c r="J757" s="48">
        <v>16</v>
      </c>
      <c r="K757" s="124">
        <f t="shared" si="65"/>
        <v>26</v>
      </c>
    </row>
    <row r="758" spans="1:11" s="55" customFormat="1" ht="14.25">
      <c r="A758" s="19" t="s">
        <v>230</v>
      </c>
      <c r="B758" s="124">
        <f t="shared" si="64"/>
        <v>4</v>
      </c>
      <c r="C758" s="134">
        <v>0</v>
      </c>
      <c r="D758" s="47">
        <v>0</v>
      </c>
      <c r="E758" s="47">
        <v>0</v>
      </c>
      <c r="F758" s="47">
        <v>1</v>
      </c>
      <c r="G758" s="47">
        <v>1</v>
      </c>
      <c r="H758" s="47">
        <v>2</v>
      </c>
      <c r="I758" s="39"/>
      <c r="J758" s="48">
        <v>16</v>
      </c>
      <c r="K758" s="124">
        <f t="shared" si="65"/>
        <v>20</v>
      </c>
    </row>
    <row r="759" spans="1:11" s="55" customFormat="1" ht="12.75">
      <c r="A759" s="19" t="s">
        <v>6</v>
      </c>
      <c r="B759" s="124">
        <f t="shared" si="64"/>
        <v>1</v>
      </c>
      <c r="C759" s="134">
        <v>0</v>
      </c>
      <c r="D759" s="47">
        <v>0</v>
      </c>
      <c r="E759" s="47">
        <v>0</v>
      </c>
      <c r="F759" s="47">
        <v>0</v>
      </c>
      <c r="G759" s="47">
        <v>0</v>
      </c>
      <c r="H759" s="47">
        <v>1</v>
      </c>
      <c r="I759" s="39"/>
      <c r="J759" s="48">
        <v>13</v>
      </c>
      <c r="K759" s="124">
        <f t="shared" si="65"/>
        <v>14</v>
      </c>
    </row>
    <row r="760" spans="1:11" s="55" customFormat="1" ht="12.75">
      <c r="A760" s="131" t="s">
        <v>7</v>
      </c>
      <c r="B760" s="124">
        <f t="shared" si="64"/>
        <v>3</v>
      </c>
      <c r="C760" s="134">
        <v>0</v>
      </c>
      <c r="D760" s="47">
        <v>0</v>
      </c>
      <c r="E760" s="47">
        <v>0</v>
      </c>
      <c r="F760" s="47">
        <v>1</v>
      </c>
      <c r="G760" s="47">
        <v>1</v>
      </c>
      <c r="H760" s="47">
        <v>1</v>
      </c>
      <c r="I760" s="39"/>
      <c r="J760" s="48">
        <v>15</v>
      </c>
      <c r="K760" s="124">
        <f t="shared" si="65"/>
        <v>18</v>
      </c>
    </row>
    <row r="761" spans="1:11" s="55" customFormat="1" ht="12.75">
      <c r="A761" s="19" t="s">
        <v>8</v>
      </c>
      <c r="B761" s="124">
        <f t="shared" si="64"/>
        <v>5</v>
      </c>
      <c r="C761" s="134">
        <v>0</v>
      </c>
      <c r="D761" s="47">
        <v>0</v>
      </c>
      <c r="E761" s="47">
        <v>0</v>
      </c>
      <c r="F761" s="47">
        <v>0</v>
      </c>
      <c r="G761" s="47">
        <v>1</v>
      </c>
      <c r="H761" s="47">
        <v>4</v>
      </c>
      <c r="I761" s="39"/>
      <c r="J761" s="48">
        <v>10</v>
      </c>
      <c r="K761" s="124">
        <f t="shared" si="65"/>
        <v>15</v>
      </c>
    </row>
    <row r="762" spans="1:11" s="55" customFormat="1" ht="12.75">
      <c r="A762" s="19" t="s">
        <v>9</v>
      </c>
      <c r="B762" s="124">
        <f t="shared" si="64"/>
        <v>3</v>
      </c>
      <c r="C762" s="134">
        <v>0</v>
      </c>
      <c r="D762" s="47">
        <v>0</v>
      </c>
      <c r="E762" s="47">
        <v>0</v>
      </c>
      <c r="F762" s="47">
        <v>0</v>
      </c>
      <c r="G762" s="47">
        <v>1</v>
      </c>
      <c r="H762" s="47">
        <v>2</v>
      </c>
      <c r="I762" s="39"/>
      <c r="J762" s="48">
        <v>12</v>
      </c>
      <c r="K762" s="124">
        <f t="shared" si="65"/>
        <v>15</v>
      </c>
    </row>
    <row r="763" spans="1:11" s="55" customFormat="1" ht="12.75">
      <c r="A763" s="19" t="s">
        <v>10</v>
      </c>
      <c r="B763" s="124">
        <f t="shared" si="64"/>
        <v>5</v>
      </c>
      <c r="C763" s="134">
        <v>0</v>
      </c>
      <c r="D763" s="47">
        <v>0</v>
      </c>
      <c r="E763" s="47">
        <v>0</v>
      </c>
      <c r="F763" s="47">
        <v>0</v>
      </c>
      <c r="G763" s="47">
        <v>4</v>
      </c>
      <c r="H763" s="47">
        <v>1</v>
      </c>
      <c r="I763" s="39"/>
      <c r="J763" s="48">
        <v>22</v>
      </c>
      <c r="K763" s="124">
        <f t="shared" si="65"/>
        <v>27</v>
      </c>
    </row>
    <row r="764" spans="1:11" s="55" customFormat="1" ht="12.75">
      <c r="A764" s="131" t="s">
        <v>11</v>
      </c>
      <c r="B764" s="124">
        <f t="shared" si="64"/>
        <v>6</v>
      </c>
      <c r="C764" s="134">
        <v>0</v>
      </c>
      <c r="D764" s="47">
        <v>0</v>
      </c>
      <c r="E764" s="47">
        <v>0</v>
      </c>
      <c r="F764" s="47">
        <v>0</v>
      </c>
      <c r="G764" s="47">
        <v>3</v>
      </c>
      <c r="H764" s="47">
        <v>3</v>
      </c>
      <c r="I764" s="39"/>
      <c r="J764" s="48">
        <v>27</v>
      </c>
      <c r="K764" s="124">
        <f t="shared" si="65"/>
        <v>33</v>
      </c>
    </row>
    <row r="765" spans="1:11" s="55" customFormat="1" ht="12.75">
      <c r="A765" s="19" t="s">
        <v>12</v>
      </c>
      <c r="B765" s="124">
        <f t="shared" si="64"/>
        <v>17</v>
      </c>
      <c r="C765" s="134">
        <v>1</v>
      </c>
      <c r="D765" s="47">
        <v>1</v>
      </c>
      <c r="E765" s="47">
        <v>0</v>
      </c>
      <c r="F765" s="47">
        <v>5</v>
      </c>
      <c r="G765" s="47">
        <v>1</v>
      </c>
      <c r="H765" s="47">
        <v>9</v>
      </c>
      <c r="I765" s="39"/>
      <c r="J765" s="48">
        <v>9</v>
      </c>
      <c r="K765" s="124">
        <f t="shared" si="65"/>
        <v>26</v>
      </c>
    </row>
    <row r="766" spans="1:11" s="55" customFormat="1" ht="12.75">
      <c r="A766" s="19" t="s">
        <v>13</v>
      </c>
      <c r="B766" s="124">
        <f t="shared" si="64"/>
        <v>10</v>
      </c>
      <c r="C766" s="134">
        <v>0</v>
      </c>
      <c r="D766" s="47">
        <v>0</v>
      </c>
      <c r="E766" s="47">
        <v>0</v>
      </c>
      <c r="F766" s="47">
        <v>1</v>
      </c>
      <c r="G766" s="47">
        <v>3</v>
      </c>
      <c r="H766" s="47">
        <v>6</v>
      </c>
      <c r="I766" s="39"/>
      <c r="J766" s="48">
        <v>28</v>
      </c>
      <c r="K766" s="124">
        <f t="shared" si="65"/>
        <v>38</v>
      </c>
    </row>
    <row r="767" spans="1:11" s="55" customFormat="1" ht="12.75">
      <c r="A767" s="19" t="s">
        <v>14</v>
      </c>
      <c r="B767" s="124">
        <f t="shared" si="64"/>
        <v>11</v>
      </c>
      <c r="C767" s="134">
        <v>0</v>
      </c>
      <c r="D767" s="47">
        <v>1</v>
      </c>
      <c r="E767" s="47">
        <v>2</v>
      </c>
      <c r="F767" s="47">
        <v>2</v>
      </c>
      <c r="G767" s="47">
        <v>3</v>
      </c>
      <c r="H767" s="47">
        <v>3</v>
      </c>
      <c r="I767" s="39"/>
      <c r="J767" s="48">
        <v>14</v>
      </c>
      <c r="K767" s="124">
        <f t="shared" si="65"/>
        <v>25</v>
      </c>
    </row>
    <row r="768" spans="1:11" s="55" customFormat="1" ht="14.25">
      <c r="A768" s="131" t="s">
        <v>229</v>
      </c>
      <c r="B768" s="124">
        <f t="shared" si="64"/>
        <v>10</v>
      </c>
      <c r="C768" s="134">
        <v>0</v>
      </c>
      <c r="D768" s="47">
        <v>2</v>
      </c>
      <c r="E768" s="47">
        <v>2</v>
      </c>
      <c r="F768" s="47">
        <v>0</v>
      </c>
      <c r="G768" s="47">
        <v>2</v>
      </c>
      <c r="H768" s="47">
        <v>4</v>
      </c>
      <c r="I768" s="39"/>
      <c r="J768" s="48">
        <v>13</v>
      </c>
      <c r="K768" s="124">
        <f t="shared" si="65"/>
        <v>23</v>
      </c>
    </row>
    <row r="769" spans="1:11" s="55" customFormat="1" ht="12.75">
      <c r="A769" s="19" t="s">
        <v>15</v>
      </c>
      <c r="B769" s="124">
        <f t="shared" si="64"/>
        <v>19</v>
      </c>
      <c r="C769" s="134">
        <v>2</v>
      </c>
      <c r="D769" s="47">
        <v>0</v>
      </c>
      <c r="E769" s="47">
        <v>2</v>
      </c>
      <c r="F769" s="47">
        <v>1</v>
      </c>
      <c r="G769" s="47">
        <v>7</v>
      </c>
      <c r="H769" s="47">
        <v>7</v>
      </c>
      <c r="I769" s="39"/>
      <c r="J769" s="48">
        <v>26</v>
      </c>
      <c r="K769" s="124">
        <f t="shared" si="65"/>
        <v>45</v>
      </c>
    </row>
    <row r="770" spans="1:11" s="55" customFormat="1" ht="12.75">
      <c r="A770" s="19" t="s">
        <v>16</v>
      </c>
      <c r="B770" s="124">
        <f t="shared" si="64"/>
        <v>6</v>
      </c>
      <c r="C770" s="134">
        <v>1</v>
      </c>
      <c r="D770" s="47">
        <v>0</v>
      </c>
      <c r="E770" s="47">
        <v>0</v>
      </c>
      <c r="F770" s="47">
        <v>1</v>
      </c>
      <c r="G770" s="47">
        <v>3</v>
      </c>
      <c r="H770" s="47">
        <v>1</v>
      </c>
      <c r="I770" s="39"/>
      <c r="J770" s="48">
        <v>19</v>
      </c>
      <c r="K770" s="124">
        <f t="shared" si="65"/>
        <v>25</v>
      </c>
    </row>
    <row r="771" spans="1:11" s="55" customFormat="1" ht="12.75">
      <c r="A771" s="19" t="s">
        <v>17</v>
      </c>
      <c r="B771" s="124">
        <f t="shared" si="64"/>
        <v>8</v>
      </c>
      <c r="C771" s="134">
        <v>0</v>
      </c>
      <c r="D771" s="47">
        <v>2</v>
      </c>
      <c r="E771" s="47">
        <v>0</v>
      </c>
      <c r="F771" s="47">
        <v>2</v>
      </c>
      <c r="G771" s="47">
        <v>2</v>
      </c>
      <c r="H771" s="47">
        <v>2</v>
      </c>
      <c r="I771" s="39"/>
      <c r="J771" s="48">
        <v>11</v>
      </c>
      <c r="K771" s="124">
        <f t="shared" si="65"/>
        <v>19</v>
      </c>
    </row>
    <row r="772" spans="1:11" s="55" customFormat="1" ht="12.75">
      <c r="A772" s="132" t="s">
        <v>23</v>
      </c>
      <c r="B772" s="122">
        <f t="shared" si="64"/>
        <v>135</v>
      </c>
      <c r="C772" s="133">
        <f aca="true" t="shared" si="66" ref="C772:H772">SUM(C753:C771)</f>
        <v>4</v>
      </c>
      <c r="D772" s="92">
        <f t="shared" si="66"/>
        <v>7</v>
      </c>
      <c r="E772" s="92">
        <f t="shared" si="66"/>
        <v>7</v>
      </c>
      <c r="F772" s="92">
        <f t="shared" si="66"/>
        <v>21</v>
      </c>
      <c r="G772" s="92">
        <f t="shared" si="66"/>
        <v>35</v>
      </c>
      <c r="H772" s="92">
        <f t="shared" si="66"/>
        <v>61</v>
      </c>
      <c r="I772" s="39"/>
      <c r="J772" s="92">
        <f>SUM(J753:J771)</f>
        <v>297</v>
      </c>
      <c r="K772" s="122">
        <f t="shared" si="65"/>
        <v>432</v>
      </c>
    </row>
    <row r="773" spans="1:9" s="55" customFormat="1" ht="12.75">
      <c r="A773" s="19" t="s">
        <v>238</v>
      </c>
      <c r="B773" s="20"/>
      <c r="C773" s="56"/>
      <c r="I773" s="20"/>
    </row>
    <row r="774" spans="1:9" s="55" customFormat="1" ht="12.75">
      <c r="A774" s="19" t="s">
        <v>239</v>
      </c>
      <c r="B774" s="20"/>
      <c r="C774" s="56"/>
      <c r="I774" s="20"/>
    </row>
    <row r="775" spans="1:9" s="55" customFormat="1" ht="12.75">
      <c r="A775" s="20"/>
      <c r="B775" s="20"/>
      <c r="C775" s="56"/>
      <c r="I775" s="20"/>
    </row>
    <row r="776" spans="1:9" s="55" customFormat="1" ht="12.75">
      <c r="A776" s="20"/>
      <c r="B776" s="20"/>
      <c r="C776" s="56"/>
      <c r="I776" s="20"/>
    </row>
    <row r="777" spans="3:9" s="55" customFormat="1" ht="12.75">
      <c r="C777" s="56"/>
      <c r="I777" s="20"/>
    </row>
    <row r="778" spans="1:9" s="55" customFormat="1" ht="12.75">
      <c r="A778" s="126" t="s">
        <v>247</v>
      </c>
      <c r="B778" s="126"/>
      <c r="C778" s="56"/>
      <c r="I778" s="20"/>
    </row>
    <row r="779" spans="1:10" s="55" customFormat="1" ht="12.75">
      <c r="A779" s="20"/>
      <c r="B779" s="20"/>
      <c r="C779" s="78"/>
      <c r="D779" s="78"/>
      <c r="E779" s="78"/>
      <c r="F779" s="78"/>
      <c r="G779" s="78"/>
      <c r="H779" s="78"/>
      <c r="I779" s="129"/>
      <c r="J779" s="127"/>
    </row>
    <row r="780" spans="1:11" s="55" customFormat="1" ht="12.75">
      <c r="A780" s="128"/>
      <c r="B780" s="120"/>
      <c r="C780" s="283" t="s">
        <v>248</v>
      </c>
      <c r="D780" s="284"/>
      <c r="E780" s="284"/>
      <c r="F780" s="285"/>
      <c r="G780" s="283" t="s">
        <v>237</v>
      </c>
      <c r="H780" s="285"/>
      <c r="I780" s="129"/>
      <c r="J780" s="86"/>
      <c r="K780" s="86"/>
    </row>
    <row r="781" spans="1:11" s="55" customFormat="1" ht="12.75">
      <c r="A781" s="19"/>
      <c r="B781" s="2"/>
      <c r="C781" s="91" t="s">
        <v>233</v>
      </c>
      <c r="D781" s="82" t="s">
        <v>233</v>
      </c>
      <c r="E781" s="86"/>
      <c r="F781" s="91"/>
      <c r="G781" s="81"/>
      <c r="H781" s="81"/>
      <c r="I781" s="129"/>
      <c r="J781" s="81"/>
      <c r="K781" s="81"/>
    </row>
    <row r="782" spans="1:11" s="55" customFormat="1" ht="12.75">
      <c r="A782" s="19"/>
      <c r="B782" s="2"/>
      <c r="C782" s="81" t="s">
        <v>234</v>
      </c>
      <c r="D782" s="82" t="s">
        <v>234</v>
      </c>
      <c r="E782" s="80"/>
      <c r="F782" s="81"/>
      <c r="G782" s="81"/>
      <c r="H782" s="81"/>
      <c r="I782" s="129"/>
      <c r="J782" s="81" t="s">
        <v>225</v>
      </c>
      <c r="K782" s="81"/>
    </row>
    <row r="783" spans="1:11" s="55" customFormat="1" ht="12.75">
      <c r="A783" s="19"/>
      <c r="B783" s="2"/>
      <c r="C783" s="81" t="s">
        <v>231</v>
      </c>
      <c r="D783" s="82" t="s">
        <v>231</v>
      </c>
      <c r="E783" s="81" t="s">
        <v>233</v>
      </c>
      <c r="F783" s="81" t="s">
        <v>233</v>
      </c>
      <c r="G783" s="81" t="s">
        <v>233</v>
      </c>
      <c r="H783" s="81" t="s">
        <v>233</v>
      </c>
      <c r="I783" s="129"/>
      <c r="J783" s="81" t="s">
        <v>48</v>
      </c>
      <c r="K783" s="81" t="s">
        <v>198</v>
      </c>
    </row>
    <row r="784" spans="1:11" s="55" customFormat="1" ht="12.75">
      <c r="A784" s="19"/>
      <c r="B784" s="2"/>
      <c r="C784" s="81" t="s">
        <v>227</v>
      </c>
      <c r="D784" s="82" t="s">
        <v>232</v>
      </c>
      <c r="E784" s="81" t="s">
        <v>235</v>
      </c>
      <c r="F784" s="81" t="s">
        <v>236</v>
      </c>
      <c r="G784" s="81" t="s">
        <v>235</v>
      </c>
      <c r="H784" s="81" t="s">
        <v>236</v>
      </c>
      <c r="I784" s="129"/>
      <c r="J784" s="81" t="s">
        <v>223</v>
      </c>
      <c r="K784" s="81" t="s">
        <v>205</v>
      </c>
    </row>
    <row r="785" spans="1:11" s="55" customFormat="1" ht="14.25">
      <c r="A785" s="130"/>
      <c r="B785" s="17" t="s">
        <v>159</v>
      </c>
      <c r="C785" s="83" t="s">
        <v>226</v>
      </c>
      <c r="D785" s="90" t="s">
        <v>226</v>
      </c>
      <c r="E785" s="83" t="s">
        <v>62</v>
      </c>
      <c r="F785" s="83" t="s">
        <v>48</v>
      </c>
      <c r="G785" s="83" t="s">
        <v>62</v>
      </c>
      <c r="H785" s="83" t="s">
        <v>48</v>
      </c>
      <c r="I785" s="129"/>
      <c r="J785" s="83" t="s">
        <v>224</v>
      </c>
      <c r="K785" s="83" t="s">
        <v>259</v>
      </c>
    </row>
    <row r="786" spans="1:11" s="55" customFormat="1" ht="12.75">
      <c r="A786" s="19" t="s">
        <v>0</v>
      </c>
      <c r="B786" s="124">
        <f>C786+D786+E786+F786+G786+H786</f>
        <v>6</v>
      </c>
      <c r="C786" s="134">
        <v>0</v>
      </c>
      <c r="D786" s="47">
        <v>0</v>
      </c>
      <c r="E786" s="47">
        <v>0</v>
      </c>
      <c r="F786" s="47">
        <v>1</v>
      </c>
      <c r="G786" s="47">
        <v>2</v>
      </c>
      <c r="H786" s="47">
        <v>3</v>
      </c>
      <c r="I786" s="39"/>
      <c r="J786" s="46">
        <v>12</v>
      </c>
      <c r="K786" s="124">
        <f>B786+J786</f>
        <v>18</v>
      </c>
    </row>
    <row r="787" spans="1:11" s="55" customFormat="1" ht="12.75">
      <c r="A787" s="19" t="s">
        <v>1</v>
      </c>
      <c r="B787" s="124">
        <f aca="true" t="shared" si="67" ref="B787:B805">C787+D787+E787+F787+G787+H787</f>
        <v>5</v>
      </c>
      <c r="C787" s="134">
        <v>0</v>
      </c>
      <c r="D787" s="47">
        <v>0</v>
      </c>
      <c r="E787" s="47">
        <v>0</v>
      </c>
      <c r="F787" s="47">
        <v>1</v>
      </c>
      <c r="G787" s="47">
        <v>0</v>
      </c>
      <c r="H787" s="47">
        <v>4</v>
      </c>
      <c r="I787" s="39"/>
      <c r="J787" s="48">
        <v>17</v>
      </c>
      <c r="K787" s="124">
        <f aca="true" t="shared" si="68" ref="K787:K805">B787+J787</f>
        <v>22</v>
      </c>
    </row>
    <row r="788" spans="1:11" s="55" customFormat="1" ht="12.75">
      <c r="A788" s="19" t="s">
        <v>2</v>
      </c>
      <c r="B788" s="124">
        <f t="shared" si="67"/>
        <v>0</v>
      </c>
      <c r="C788" s="134">
        <v>0</v>
      </c>
      <c r="D788" s="47">
        <v>0</v>
      </c>
      <c r="E788" s="47">
        <v>0</v>
      </c>
      <c r="F788" s="47">
        <v>0</v>
      </c>
      <c r="G788" s="47">
        <v>0</v>
      </c>
      <c r="H788" s="47">
        <v>0</v>
      </c>
      <c r="I788" s="39"/>
      <c r="J788" s="48">
        <v>1</v>
      </c>
      <c r="K788" s="124">
        <f t="shared" si="68"/>
        <v>1</v>
      </c>
    </row>
    <row r="789" spans="1:11" s="55" customFormat="1" ht="12.75">
      <c r="A789" s="19" t="s">
        <v>3</v>
      </c>
      <c r="B789" s="124">
        <f t="shared" si="67"/>
        <v>10</v>
      </c>
      <c r="C789" s="134">
        <v>0</v>
      </c>
      <c r="D789" s="47">
        <v>2</v>
      </c>
      <c r="E789" s="47">
        <v>1</v>
      </c>
      <c r="F789" s="47">
        <v>2</v>
      </c>
      <c r="G789" s="47">
        <v>1</v>
      </c>
      <c r="H789" s="47">
        <v>4</v>
      </c>
      <c r="I789" s="39"/>
      <c r="J789" s="48">
        <v>12</v>
      </c>
      <c r="K789" s="124">
        <f t="shared" si="68"/>
        <v>22</v>
      </c>
    </row>
    <row r="790" spans="1:11" s="55" customFormat="1" ht="12.75">
      <c r="A790" s="19" t="s">
        <v>4</v>
      </c>
      <c r="B790" s="124">
        <f t="shared" si="67"/>
        <v>11</v>
      </c>
      <c r="C790" s="134">
        <v>0</v>
      </c>
      <c r="D790" s="47">
        <v>0</v>
      </c>
      <c r="E790" s="47">
        <v>0</v>
      </c>
      <c r="F790" s="47">
        <v>3</v>
      </c>
      <c r="G790" s="47">
        <v>1</v>
      </c>
      <c r="H790" s="47">
        <v>7</v>
      </c>
      <c r="I790" s="39"/>
      <c r="J790" s="48">
        <v>15</v>
      </c>
      <c r="K790" s="124">
        <f t="shared" si="68"/>
        <v>26</v>
      </c>
    </row>
    <row r="791" spans="1:11" s="55" customFormat="1" ht="14.25">
      <c r="A791" s="19" t="s">
        <v>230</v>
      </c>
      <c r="B791" s="124">
        <f t="shared" si="67"/>
        <v>4</v>
      </c>
      <c r="C791" s="134">
        <v>0</v>
      </c>
      <c r="D791" s="47">
        <v>0</v>
      </c>
      <c r="E791" s="47">
        <v>0</v>
      </c>
      <c r="F791" s="47">
        <v>0</v>
      </c>
      <c r="G791" s="47">
        <v>1</v>
      </c>
      <c r="H791" s="47">
        <v>3</v>
      </c>
      <c r="I791" s="39"/>
      <c r="J791" s="48">
        <v>16</v>
      </c>
      <c r="K791" s="124">
        <f t="shared" si="68"/>
        <v>20</v>
      </c>
    </row>
    <row r="792" spans="1:11" s="55" customFormat="1" ht="12.75">
      <c r="A792" s="19" t="s">
        <v>6</v>
      </c>
      <c r="B792" s="124">
        <f t="shared" si="67"/>
        <v>2</v>
      </c>
      <c r="C792" s="134">
        <v>0</v>
      </c>
      <c r="D792" s="47">
        <v>0</v>
      </c>
      <c r="E792" s="47">
        <v>0</v>
      </c>
      <c r="F792" s="47">
        <v>1</v>
      </c>
      <c r="G792" s="47">
        <v>0</v>
      </c>
      <c r="H792" s="47">
        <v>1</v>
      </c>
      <c r="I792" s="39"/>
      <c r="J792" s="48">
        <v>13</v>
      </c>
      <c r="K792" s="124">
        <f t="shared" si="68"/>
        <v>15</v>
      </c>
    </row>
    <row r="793" spans="1:11" s="55" customFormat="1" ht="12.75">
      <c r="A793" s="131" t="s">
        <v>7</v>
      </c>
      <c r="B793" s="124">
        <f t="shared" si="67"/>
        <v>4</v>
      </c>
      <c r="C793" s="134">
        <v>0</v>
      </c>
      <c r="D793" s="47">
        <v>0</v>
      </c>
      <c r="E793" s="47">
        <v>1</v>
      </c>
      <c r="F793" s="47">
        <v>0</v>
      </c>
      <c r="G793" s="47">
        <v>2</v>
      </c>
      <c r="H793" s="47">
        <v>1</v>
      </c>
      <c r="I793" s="39"/>
      <c r="J793" s="48">
        <v>14</v>
      </c>
      <c r="K793" s="124">
        <f t="shared" si="68"/>
        <v>18</v>
      </c>
    </row>
    <row r="794" spans="1:11" s="55" customFormat="1" ht="12.75">
      <c r="A794" s="19" t="s">
        <v>8</v>
      </c>
      <c r="B794" s="124">
        <f t="shared" si="67"/>
        <v>4</v>
      </c>
      <c r="C794" s="134">
        <v>0</v>
      </c>
      <c r="D794" s="47">
        <v>0</v>
      </c>
      <c r="E794" s="47">
        <v>0</v>
      </c>
      <c r="F794" s="47">
        <v>0</v>
      </c>
      <c r="G794" s="47">
        <v>1</v>
      </c>
      <c r="H794" s="47">
        <v>3</v>
      </c>
      <c r="I794" s="39"/>
      <c r="J794" s="48">
        <v>11</v>
      </c>
      <c r="K794" s="124">
        <f t="shared" si="68"/>
        <v>15</v>
      </c>
    </row>
    <row r="795" spans="1:11" s="55" customFormat="1" ht="12.75">
      <c r="A795" s="19" t="s">
        <v>9</v>
      </c>
      <c r="B795" s="124">
        <f t="shared" si="67"/>
        <v>2</v>
      </c>
      <c r="C795" s="134">
        <v>0</v>
      </c>
      <c r="D795" s="47">
        <v>0</v>
      </c>
      <c r="E795" s="47">
        <v>1</v>
      </c>
      <c r="F795" s="47">
        <v>0</v>
      </c>
      <c r="G795" s="47">
        <v>0</v>
      </c>
      <c r="H795" s="47">
        <v>1</v>
      </c>
      <c r="I795" s="39"/>
      <c r="J795" s="48">
        <v>13</v>
      </c>
      <c r="K795" s="124">
        <f t="shared" si="68"/>
        <v>15</v>
      </c>
    </row>
    <row r="796" spans="1:11" s="55" customFormat="1" ht="12.75">
      <c r="A796" s="19" t="s">
        <v>10</v>
      </c>
      <c r="B796" s="124">
        <f t="shared" si="67"/>
        <v>6</v>
      </c>
      <c r="C796" s="134">
        <v>0</v>
      </c>
      <c r="D796" s="47">
        <v>0</v>
      </c>
      <c r="E796" s="47">
        <v>0</v>
      </c>
      <c r="F796" s="47">
        <v>1</v>
      </c>
      <c r="G796" s="47">
        <v>4</v>
      </c>
      <c r="H796" s="47">
        <v>1</v>
      </c>
      <c r="I796" s="39"/>
      <c r="J796" s="48">
        <v>20</v>
      </c>
      <c r="K796" s="124">
        <f t="shared" si="68"/>
        <v>26</v>
      </c>
    </row>
    <row r="797" spans="1:11" s="55" customFormat="1" ht="12.75">
      <c r="A797" s="131" t="s">
        <v>11</v>
      </c>
      <c r="B797" s="124">
        <f t="shared" si="67"/>
        <v>7</v>
      </c>
      <c r="C797" s="134">
        <v>0</v>
      </c>
      <c r="D797" s="47">
        <v>0</v>
      </c>
      <c r="E797" s="47">
        <v>0</v>
      </c>
      <c r="F797" s="47">
        <v>0</v>
      </c>
      <c r="G797" s="47">
        <v>3</v>
      </c>
      <c r="H797" s="47">
        <v>4</v>
      </c>
      <c r="I797" s="39"/>
      <c r="J797" s="48">
        <v>27</v>
      </c>
      <c r="K797" s="124">
        <f t="shared" si="68"/>
        <v>34</v>
      </c>
    </row>
    <row r="798" spans="1:11" s="55" customFormat="1" ht="12.75">
      <c r="A798" s="19" t="s">
        <v>12</v>
      </c>
      <c r="B798" s="124">
        <f t="shared" si="67"/>
        <v>18</v>
      </c>
      <c r="C798" s="134">
        <v>0</v>
      </c>
      <c r="D798" s="47">
        <v>2</v>
      </c>
      <c r="E798" s="47">
        <v>0</v>
      </c>
      <c r="F798" s="47">
        <v>5</v>
      </c>
      <c r="G798" s="47">
        <v>2</v>
      </c>
      <c r="H798" s="47">
        <v>9</v>
      </c>
      <c r="I798" s="39"/>
      <c r="J798" s="48">
        <v>8</v>
      </c>
      <c r="K798" s="124">
        <f t="shared" si="68"/>
        <v>26</v>
      </c>
    </row>
    <row r="799" spans="1:11" s="55" customFormat="1" ht="12.75">
      <c r="A799" s="19" t="s">
        <v>13</v>
      </c>
      <c r="B799" s="124">
        <f t="shared" si="67"/>
        <v>11</v>
      </c>
      <c r="C799" s="134">
        <v>0</v>
      </c>
      <c r="D799" s="47">
        <v>0</v>
      </c>
      <c r="E799" s="47">
        <v>0</v>
      </c>
      <c r="F799" s="47">
        <v>0</v>
      </c>
      <c r="G799" s="47">
        <v>5</v>
      </c>
      <c r="H799" s="47">
        <v>6</v>
      </c>
      <c r="I799" s="39"/>
      <c r="J799" s="48">
        <v>27</v>
      </c>
      <c r="K799" s="124">
        <f t="shared" si="68"/>
        <v>38</v>
      </c>
    </row>
    <row r="800" spans="1:11" s="55" customFormat="1" ht="12.75">
      <c r="A800" s="19" t="s">
        <v>14</v>
      </c>
      <c r="B800" s="124">
        <f t="shared" si="67"/>
        <v>11</v>
      </c>
      <c r="C800" s="134">
        <v>0</v>
      </c>
      <c r="D800" s="47">
        <v>1</v>
      </c>
      <c r="E800" s="47">
        <v>2</v>
      </c>
      <c r="F800" s="47">
        <v>2</v>
      </c>
      <c r="G800" s="47">
        <v>3</v>
      </c>
      <c r="H800" s="47">
        <v>3</v>
      </c>
      <c r="I800" s="39"/>
      <c r="J800" s="48">
        <v>14</v>
      </c>
      <c r="K800" s="124">
        <f t="shared" si="68"/>
        <v>25</v>
      </c>
    </row>
    <row r="801" spans="1:11" s="55" customFormat="1" ht="14.25">
      <c r="A801" s="131" t="s">
        <v>229</v>
      </c>
      <c r="B801" s="124">
        <f t="shared" si="67"/>
        <v>8</v>
      </c>
      <c r="C801" s="134">
        <v>0</v>
      </c>
      <c r="D801" s="47">
        <v>2</v>
      </c>
      <c r="E801" s="47">
        <v>1</v>
      </c>
      <c r="F801" s="47">
        <v>0</v>
      </c>
      <c r="G801" s="47">
        <v>3</v>
      </c>
      <c r="H801" s="47">
        <v>2</v>
      </c>
      <c r="I801" s="39"/>
      <c r="J801" s="48">
        <v>15</v>
      </c>
      <c r="K801" s="124">
        <f t="shared" si="68"/>
        <v>23</v>
      </c>
    </row>
    <row r="802" spans="1:11" s="55" customFormat="1" ht="12.75">
      <c r="A802" s="19" t="s">
        <v>15</v>
      </c>
      <c r="B802" s="124">
        <f t="shared" si="67"/>
        <v>22</v>
      </c>
      <c r="C802" s="134">
        <v>4</v>
      </c>
      <c r="D802" s="47">
        <v>0</v>
      </c>
      <c r="E802" s="47">
        <v>1</v>
      </c>
      <c r="F802" s="47">
        <v>2</v>
      </c>
      <c r="G802" s="47">
        <v>8</v>
      </c>
      <c r="H802" s="47">
        <v>7</v>
      </c>
      <c r="I802" s="39"/>
      <c r="J802" s="48">
        <v>23</v>
      </c>
      <c r="K802" s="124">
        <f t="shared" si="68"/>
        <v>45</v>
      </c>
    </row>
    <row r="803" spans="1:11" s="55" customFormat="1" ht="12.75">
      <c r="A803" s="19" t="s">
        <v>16</v>
      </c>
      <c r="B803" s="124">
        <f t="shared" si="67"/>
        <v>5</v>
      </c>
      <c r="C803" s="134">
        <v>1</v>
      </c>
      <c r="D803" s="47">
        <v>0</v>
      </c>
      <c r="E803" s="47">
        <v>0</v>
      </c>
      <c r="F803" s="47">
        <v>0</v>
      </c>
      <c r="G803" s="47">
        <v>3</v>
      </c>
      <c r="H803" s="47">
        <v>1</v>
      </c>
      <c r="I803" s="39"/>
      <c r="J803" s="48">
        <v>20</v>
      </c>
      <c r="K803" s="124">
        <f t="shared" si="68"/>
        <v>25</v>
      </c>
    </row>
    <row r="804" spans="1:11" s="55" customFormat="1" ht="12.75">
      <c r="A804" s="19" t="s">
        <v>17</v>
      </c>
      <c r="B804" s="124">
        <f t="shared" si="67"/>
        <v>3</v>
      </c>
      <c r="C804" s="134">
        <v>0</v>
      </c>
      <c r="D804" s="47">
        <v>1</v>
      </c>
      <c r="E804" s="47">
        <v>0</v>
      </c>
      <c r="F804" s="47">
        <v>1</v>
      </c>
      <c r="G804" s="47">
        <v>0</v>
      </c>
      <c r="H804" s="47">
        <v>1</v>
      </c>
      <c r="I804" s="39"/>
      <c r="J804" s="48">
        <v>16</v>
      </c>
      <c r="K804" s="124">
        <f t="shared" si="68"/>
        <v>19</v>
      </c>
    </row>
    <row r="805" spans="1:11" s="55" customFormat="1" ht="12.75">
      <c r="A805" s="132" t="s">
        <v>23</v>
      </c>
      <c r="B805" s="122">
        <f t="shared" si="67"/>
        <v>139</v>
      </c>
      <c r="C805" s="133">
        <f aca="true" t="shared" si="69" ref="C805:H805">SUM(C786:C804)</f>
        <v>5</v>
      </c>
      <c r="D805" s="92">
        <f t="shared" si="69"/>
        <v>8</v>
      </c>
      <c r="E805" s="92">
        <f t="shared" si="69"/>
        <v>7</v>
      </c>
      <c r="F805" s="92">
        <f t="shared" si="69"/>
        <v>19</v>
      </c>
      <c r="G805" s="92">
        <f t="shared" si="69"/>
        <v>39</v>
      </c>
      <c r="H805" s="92">
        <f t="shared" si="69"/>
        <v>61</v>
      </c>
      <c r="I805" s="39"/>
      <c r="J805" s="92">
        <f>SUM(J786:J804)</f>
        <v>294</v>
      </c>
      <c r="K805" s="122">
        <f t="shared" si="68"/>
        <v>433</v>
      </c>
    </row>
    <row r="806" spans="1:9" s="55" customFormat="1" ht="12.75">
      <c r="A806" s="19" t="s">
        <v>238</v>
      </c>
      <c r="B806" s="20"/>
      <c r="C806" s="56"/>
      <c r="I806" s="20"/>
    </row>
    <row r="807" spans="1:9" s="55" customFormat="1" ht="12.75">
      <c r="A807" s="19" t="s">
        <v>239</v>
      </c>
      <c r="B807" s="20"/>
      <c r="C807" s="56"/>
      <c r="I807" s="20"/>
    </row>
    <row r="808" spans="1:2" ht="12.75">
      <c r="A808" s="20"/>
      <c r="B808" s="20"/>
    </row>
    <row r="809" spans="1:2" ht="12.75">
      <c r="A809" s="20"/>
      <c r="B809" s="20"/>
    </row>
    <row r="811" spans="1:2" ht="12.75">
      <c r="A811" s="14" t="s">
        <v>228</v>
      </c>
      <c r="B811" s="14"/>
    </row>
    <row r="812" spans="1:10" ht="12.75">
      <c r="A812" s="16"/>
      <c r="B812" s="16"/>
      <c r="C812" s="12"/>
      <c r="D812" s="12"/>
      <c r="E812" s="12"/>
      <c r="F812" s="12"/>
      <c r="G812" s="12"/>
      <c r="H812" s="12"/>
      <c r="I812" s="129"/>
      <c r="J812" s="1"/>
    </row>
    <row r="813" spans="1:11" ht="12.75">
      <c r="A813" s="123"/>
      <c r="B813" s="120"/>
      <c r="C813" s="283" t="s">
        <v>248</v>
      </c>
      <c r="D813" s="284"/>
      <c r="E813" s="284"/>
      <c r="F813" s="285"/>
      <c r="G813" s="283" t="s">
        <v>237</v>
      </c>
      <c r="H813" s="285"/>
      <c r="I813" s="129"/>
      <c r="J813" s="120"/>
      <c r="K813" s="120"/>
    </row>
    <row r="814" spans="1:11" ht="12.75">
      <c r="A814" s="2"/>
      <c r="B814" s="2"/>
      <c r="C814" s="7" t="s">
        <v>233</v>
      </c>
      <c r="D814" s="5" t="s">
        <v>233</v>
      </c>
      <c r="E814" s="120"/>
      <c r="F814" s="7"/>
      <c r="G814" s="8"/>
      <c r="H814" s="8"/>
      <c r="I814" s="129"/>
      <c r="J814" s="8"/>
      <c r="K814" s="8"/>
    </row>
    <row r="815" spans="1:11" ht="12.75">
      <c r="A815" s="2"/>
      <c r="B815" s="2"/>
      <c r="C815" s="8" t="s">
        <v>234</v>
      </c>
      <c r="D815" s="5" t="s">
        <v>234</v>
      </c>
      <c r="E815" s="98"/>
      <c r="F815" s="8"/>
      <c r="G815" s="8"/>
      <c r="H815" s="8"/>
      <c r="I815" s="129"/>
      <c r="J815" s="8" t="s">
        <v>225</v>
      </c>
      <c r="K815" s="8"/>
    </row>
    <row r="816" spans="1:11" ht="12.75">
      <c r="A816" s="2"/>
      <c r="B816" s="2"/>
      <c r="C816" s="8" t="s">
        <v>231</v>
      </c>
      <c r="D816" s="5" t="s">
        <v>231</v>
      </c>
      <c r="E816" s="8" t="s">
        <v>233</v>
      </c>
      <c r="F816" s="8" t="s">
        <v>233</v>
      </c>
      <c r="G816" s="8" t="s">
        <v>233</v>
      </c>
      <c r="H816" s="8" t="s">
        <v>233</v>
      </c>
      <c r="I816" s="129"/>
      <c r="J816" s="8" t="s">
        <v>48</v>
      </c>
      <c r="K816" s="8" t="s">
        <v>198</v>
      </c>
    </row>
    <row r="817" spans="1:11" ht="12.75">
      <c r="A817" s="2"/>
      <c r="B817" s="2"/>
      <c r="C817" s="8" t="s">
        <v>227</v>
      </c>
      <c r="D817" s="5" t="s">
        <v>232</v>
      </c>
      <c r="E817" s="8" t="s">
        <v>235</v>
      </c>
      <c r="F817" s="8" t="s">
        <v>236</v>
      </c>
      <c r="G817" s="8" t="s">
        <v>235</v>
      </c>
      <c r="H817" s="8" t="s">
        <v>236</v>
      </c>
      <c r="I817" s="129"/>
      <c r="J817" s="8" t="s">
        <v>223</v>
      </c>
      <c r="K817" s="8" t="s">
        <v>205</v>
      </c>
    </row>
    <row r="818" spans="1:11" ht="14.25">
      <c r="A818" s="4"/>
      <c r="B818" s="17" t="s">
        <v>159</v>
      </c>
      <c r="C818" s="9" t="s">
        <v>226</v>
      </c>
      <c r="D818" s="17" t="s">
        <v>226</v>
      </c>
      <c r="E818" s="9" t="s">
        <v>62</v>
      </c>
      <c r="F818" s="9" t="s">
        <v>48</v>
      </c>
      <c r="G818" s="9" t="s">
        <v>62</v>
      </c>
      <c r="H818" s="9" t="s">
        <v>48</v>
      </c>
      <c r="I818" s="129"/>
      <c r="J818" s="9" t="s">
        <v>224</v>
      </c>
      <c r="K818" s="83" t="s">
        <v>259</v>
      </c>
    </row>
    <row r="819" spans="1:11" ht="12.75">
      <c r="A819" s="2" t="s">
        <v>0</v>
      </c>
      <c r="B819" s="124">
        <f>C819+D819+E819+F819+G819+H819</f>
        <v>6</v>
      </c>
      <c r="C819" s="134">
        <v>0</v>
      </c>
      <c r="D819" s="47">
        <v>0</v>
      </c>
      <c r="E819" s="47">
        <v>0</v>
      </c>
      <c r="F819" s="47">
        <v>1</v>
      </c>
      <c r="G819" s="47">
        <v>2</v>
      </c>
      <c r="H819" s="47">
        <v>3</v>
      </c>
      <c r="I819" s="39"/>
      <c r="J819" s="46">
        <v>12</v>
      </c>
      <c r="K819" s="124">
        <f>B819+J819</f>
        <v>18</v>
      </c>
    </row>
    <row r="820" spans="1:11" ht="12.75">
      <c r="A820" s="2" t="s">
        <v>1</v>
      </c>
      <c r="B820" s="124">
        <f aca="true" t="shared" si="70" ref="B820:B838">C820+D820+E820+F820+G820+H820</f>
        <v>2</v>
      </c>
      <c r="C820" s="134">
        <v>0</v>
      </c>
      <c r="D820" s="47">
        <v>0</v>
      </c>
      <c r="E820" s="47">
        <v>0</v>
      </c>
      <c r="F820" s="47">
        <v>0</v>
      </c>
      <c r="G820" s="47">
        <v>0</v>
      </c>
      <c r="H820" s="47">
        <v>2</v>
      </c>
      <c r="I820" s="39"/>
      <c r="J820" s="48">
        <v>20</v>
      </c>
      <c r="K820" s="124">
        <f aca="true" t="shared" si="71" ref="K820:K838">B820+J820</f>
        <v>22</v>
      </c>
    </row>
    <row r="821" spans="1:11" ht="12.75">
      <c r="A821" s="2" t="s">
        <v>2</v>
      </c>
      <c r="B821" s="124">
        <f t="shared" si="70"/>
        <v>0</v>
      </c>
      <c r="C821" s="134">
        <v>0</v>
      </c>
      <c r="D821" s="47">
        <v>0</v>
      </c>
      <c r="E821" s="47">
        <v>0</v>
      </c>
      <c r="F821" s="47">
        <v>0</v>
      </c>
      <c r="G821" s="47">
        <v>0</v>
      </c>
      <c r="H821" s="47">
        <v>0</v>
      </c>
      <c r="I821" s="39"/>
      <c r="J821" s="48">
        <v>1</v>
      </c>
      <c r="K821" s="124">
        <f t="shared" si="71"/>
        <v>1</v>
      </c>
    </row>
    <row r="822" spans="1:11" ht="12.75">
      <c r="A822" s="2" t="s">
        <v>3</v>
      </c>
      <c r="B822" s="124">
        <f t="shared" si="70"/>
        <v>8</v>
      </c>
      <c r="C822" s="134">
        <v>0</v>
      </c>
      <c r="D822" s="47">
        <v>2</v>
      </c>
      <c r="E822" s="47">
        <v>1</v>
      </c>
      <c r="F822" s="47">
        <v>1</v>
      </c>
      <c r="G822" s="47">
        <v>2</v>
      </c>
      <c r="H822" s="47">
        <v>2</v>
      </c>
      <c r="I822" s="39"/>
      <c r="J822" s="48">
        <v>14</v>
      </c>
      <c r="K822" s="124">
        <f t="shared" si="71"/>
        <v>22</v>
      </c>
    </row>
    <row r="823" spans="1:11" ht="12.75">
      <c r="A823" s="2" t="s">
        <v>4</v>
      </c>
      <c r="B823" s="124">
        <f t="shared" si="70"/>
        <v>8</v>
      </c>
      <c r="C823" s="134">
        <v>0</v>
      </c>
      <c r="D823" s="47">
        <v>0</v>
      </c>
      <c r="E823" s="47">
        <v>0</v>
      </c>
      <c r="F823" s="47">
        <v>1</v>
      </c>
      <c r="G823" s="47">
        <v>3</v>
      </c>
      <c r="H823" s="47">
        <v>4</v>
      </c>
      <c r="I823" s="39"/>
      <c r="J823" s="48">
        <v>18</v>
      </c>
      <c r="K823" s="124">
        <f t="shared" si="71"/>
        <v>26</v>
      </c>
    </row>
    <row r="824" spans="1:11" ht="14.25">
      <c r="A824" s="2" t="s">
        <v>230</v>
      </c>
      <c r="B824" s="124">
        <f t="shared" si="70"/>
        <v>4</v>
      </c>
      <c r="C824" s="134">
        <v>0</v>
      </c>
      <c r="D824" s="47">
        <v>1</v>
      </c>
      <c r="E824" s="47">
        <v>0</v>
      </c>
      <c r="F824" s="47">
        <v>0</v>
      </c>
      <c r="G824" s="47">
        <v>0</v>
      </c>
      <c r="H824" s="47">
        <v>3</v>
      </c>
      <c r="I824" s="39"/>
      <c r="J824" s="48">
        <v>16</v>
      </c>
      <c r="K824" s="124">
        <f t="shared" si="71"/>
        <v>20</v>
      </c>
    </row>
    <row r="825" spans="1:11" ht="12.75">
      <c r="A825" s="2" t="s">
        <v>6</v>
      </c>
      <c r="B825" s="124">
        <f t="shared" si="70"/>
        <v>3</v>
      </c>
      <c r="C825" s="134">
        <v>0</v>
      </c>
      <c r="D825" s="47">
        <v>0</v>
      </c>
      <c r="E825" s="47">
        <v>0</v>
      </c>
      <c r="F825" s="47">
        <v>0</v>
      </c>
      <c r="G825" s="47">
        <v>0</v>
      </c>
      <c r="H825" s="47">
        <v>3</v>
      </c>
      <c r="I825" s="39"/>
      <c r="J825" s="48">
        <v>12</v>
      </c>
      <c r="K825" s="124">
        <f t="shared" si="71"/>
        <v>15</v>
      </c>
    </row>
    <row r="826" spans="1:11" ht="12.75">
      <c r="A826" s="3" t="s">
        <v>7</v>
      </c>
      <c r="B826" s="124">
        <f t="shared" si="70"/>
        <v>3</v>
      </c>
      <c r="C826" s="134">
        <v>0</v>
      </c>
      <c r="D826" s="47">
        <v>0</v>
      </c>
      <c r="E826" s="47">
        <v>1</v>
      </c>
      <c r="F826" s="47">
        <v>0</v>
      </c>
      <c r="G826" s="47">
        <v>2</v>
      </c>
      <c r="H826" s="47">
        <v>0</v>
      </c>
      <c r="I826" s="39"/>
      <c r="J826" s="48">
        <v>15</v>
      </c>
      <c r="K826" s="124">
        <f t="shared" si="71"/>
        <v>18</v>
      </c>
    </row>
    <row r="827" spans="1:11" ht="12.75">
      <c r="A827" s="2" t="s">
        <v>8</v>
      </c>
      <c r="B827" s="124">
        <f t="shared" si="70"/>
        <v>6</v>
      </c>
      <c r="C827" s="134">
        <v>0</v>
      </c>
      <c r="D827" s="47">
        <v>0</v>
      </c>
      <c r="E827" s="47">
        <v>0</v>
      </c>
      <c r="F827" s="47">
        <v>1</v>
      </c>
      <c r="G827" s="47">
        <v>3</v>
      </c>
      <c r="H827" s="47">
        <v>2</v>
      </c>
      <c r="I827" s="39"/>
      <c r="J827" s="48">
        <v>9</v>
      </c>
      <c r="K827" s="124">
        <f t="shared" si="71"/>
        <v>15</v>
      </c>
    </row>
    <row r="828" spans="1:11" ht="12.75">
      <c r="A828" s="2" t="s">
        <v>9</v>
      </c>
      <c r="B828" s="124">
        <f t="shared" si="70"/>
        <v>3</v>
      </c>
      <c r="C828" s="134">
        <v>0</v>
      </c>
      <c r="D828" s="47">
        <v>0</v>
      </c>
      <c r="E828" s="47">
        <v>1</v>
      </c>
      <c r="F828" s="47">
        <v>0</v>
      </c>
      <c r="G828" s="47">
        <v>1</v>
      </c>
      <c r="H828" s="47">
        <v>1</v>
      </c>
      <c r="I828" s="39"/>
      <c r="J828" s="48">
        <v>12</v>
      </c>
      <c r="K828" s="124">
        <f t="shared" si="71"/>
        <v>15</v>
      </c>
    </row>
    <row r="829" spans="1:11" ht="12.75">
      <c r="A829" s="2" t="s">
        <v>10</v>
      </c>
      <c r="B829" s="124">
        <f t="shared" si="70"/>
        <v>6</v>
      </c>
      <c r="C829" s="134">
        <v>0</v>
      </c>
      <c r="D829" s="47">
        <v>1</v>
      </c>
      <c r="E829" s="47">
        <v>0</v>
      </c>
      <c r="F829" s="47">
        <v>0</v>
      </c>
      <c r="G829" s="47">
        <v>3</v>
      </c>
      <c r="H829" s="47">
        <v>2</v>
      </c>
      <c r="I829" s="39"/>
      <c r="J829" s="48">
        <v>20</v>
      </c>
      <c r="K829" s="124">
        <f t="shared" si="71"/>
        <v>26</v>
      </c>
    </row>
    <row r="830" spans="1:11" ht="12.75">
      <c r="A830" s="3" t="s">
        <v>11</v>
      </c>
      <c r="B830" s="124">
        <f t="shared" si="70"/>
        <v>7</v>
      </c>
      <c r="C830" s="134">
        <v>0</v>
      </c>
      <c r="D830" s="47">
        <v>0</v>
      </c>
      <c r="E830" s="47">
        <v>1</v>
      </c>
      <c r="F830" s="47">
        <v>0</v>
      </c>
      <c r="G830" s="47">
        <v>4</v>
      </c>
      <c r="H830" s="47">
        <v>2</v>
      </c>
      <c r="I830" s="39"/>
      <c r="J830" s="48">
        <v>27</v>
      </c>
      <c r="K830" s="124">
        <f t="shared" si="71"/>
        <v>34</v>
      </c>
    </row>
    <row r="831" spans="1:11" ht="12.75">
      <c r="A831" s="2" t="s">
        <v>12</v>
      </c>
      <c r="B831" s="124">
        <f t="shared" si="70"/>
        <v>19</v>
      </c>
      <c r="C831" s="134">
        <v>0</v>
      </c>
      <c r="D831" s="47">
        <v>2</v>
      </c>
      <c r="E831" s="47">
        <v>0</v>
      </c>
      <c r="F831" s="47">
        <v>1</v>
      </c>
      <c r="G831" s="47">
        <v>2</v>
      </c>
      <c r="H831" s="47">
        <v>14</v>
      </c>
      <c r="I831" s="39"/>
      <c r="J831" s="48">
        <v>7</v>
      </c>
      <c r="K831" s="124">
        <f t="shared" si="71"/>
        <v>26</v>
      </c>
    </row>
    <row r="832" spans="1:11" ht="12.75">
      <c r="A832" s="2" t="s">
        <v>13</v>
      </c>
      <c r="B832" s="124">
        <f t="shared" si="70"/>
        <v>12</v>
      </c>
      <c r="C832" s="134">
        <v>0</v>
      </c>
      <c r="D832" s="47">
        <v>0</v>
      </c>
      <c r="E832" s="47">
        <v>0</v>
      </c>
      <c r="F832" s="47">
        <v>0</v>
      </c>
      <c r="G832" s="47">
        <v>5</v>
      </c>
      <c r="H832" s="47">
        <v>7</v>
      </c>
      <c r="I832" s="39"/>
      <c r="J832" s="48">
        <v>26</v>
      </c>
      <c r="K832" s="124">
        <f t="shared" si="71"/>
        <v>38</v>
      </c>
    </row>
    <row r="833" spans="1:11" ht="12.75">
      <c r="A833" s="2" t="s">
        <v>14</v>
      </c>
      <c r="B833" s="124">
        <f t="shared" si="70"/>
        <v>11</v>
      </c>
      <c r="C833" s="134">
        <v>0</v>
      </c>
      <c r="D833" s="47">
        <v>1</v>
      </c>
      <c r="E833" s="47">
        <v>0</v>
      </c>
      <c r="F833" s="47">
        <v>4</v>
      </c>
      <c r="G833" s="47">
        <v>4</v>
      </c>
      <c r="H833" s="47">
        <v>2</v>
      </c>
      <c r="I833" s="39"/>
      <c r="J833" s="48">
        <v>14</v>
      </c>
      <c r="K833" s="124">
        <f t="shared" si="71"/>
        <v>25</v>
      </c>
    </row>
    <row r="834" spans="1:11" ht="14.25">
      <c r="A834" s="3" t="s">
        <v>229</v>
      </c>
      <c r="B834" s="124">
        <f t="shared" si="70"/>
        <v>7</v>
      </c>
      <c r="C834" s="134">
        <v>0</v>
      </c>
      <c r="D834" s="47">
        <v>2</v>
      </c>
      <c r="E834" s="47">
        <v>2</v>
      </c>
      <c r="F834" s="47">
        <v>0</v>
      </c>
      <c r="G834" s="47">
        <v>2</v>
      </c>
      <c r="H834" s="47">
        <v>1</v>
      </c>
      <c r="I834" s="39"/>
      <c r="J834" s="48">
        <v>16</v>
      </c>
      <c r="K834" s="124">
        <f t="shared" si="71"/>
        <v>23</v>
      </c>
    </row>
    <row r="835" spans="1:11" ht="12.75">
      <c r="A835" s="2" t="s">
        <v>15</v>
      </c>
      <c r="B835" s="124">
        <f t="shared" si="70"/>
        <v>26</v>
      </c>
      <c r="C835" s="134">
        <v>6</v>
      </c>
      <c r="D835" s="47">
        <v>1</v>
      </c>
      <c r="E835" s="47">
        <v>2</v>
      </c>
      <c r="F835" s="47">
        <v>1</v>
      </c>
      <c r="G835" s="47">
        <v>11</v>
      </c>
      <c r="H835" s="47">
        <v>5</v>
      </c>
      <c r="I835" s="39"/>
      <c r="J835" s="48">
        <v>19</v>
      </c>
      <c r="K835" s="124">
        <f t="shared" si="71"/>
        <v>45</v>
      </c>
    </row>
    <row r="836" spans="1:11" ht="12.75">
      <c r="A836" s="2" t="s">
        <v>16</v>
      </c>
      <c r="B836" s="124">
        <f t="shared" si="70"/>
        <v>8</v>
      </c>
      <c r="C836" s="134">
        <v>2</v>
      </c>
      <c r="D836" s="47">
        <v>0</v>
      </c>
      <c r="E836" s="47">
        <v>0</v>
      </c>
      <c r="F836" s="47">
        <v>1</v>
      </c>
      <c r="G836" s="47">
        <v>3</v>
      </c>
      <c r="H836" s="47">
        <v>2</v>
      </c>
      <c r="I836" s="39"/>
      <c r="J836" s="48">
        <v>17</v>
      </c>
      <c r="K836" s="124">
        <f t="shared" si="71"/>
        <v>25</v>
      </c>
    </row>
    <row r="837" spans="1:11" ht="12.75">
      <c r="A837" s="2" t="s">
        <v>17</v>
      </c>
      <c r="B837" s="124">
        <f t="shared" si="70"/>
        <v>7</v>
      </c>
      <c r="C837" s="134">
        <v>0</v>
      </c>
      <c r="D837" s="47">
        <v>0</v>
      </c>
      <c r="E837" s="47">
        <v>0</v>
      </c>
      <c r="F837" s="47">
        <v>1</v>
      </c>
      <c r="G837" s="47">
        <v>3</v>
      </c>
      <c r="H837" s="47">
        <v>3</v>
      </c>
      <c r="I837" s="39"/>
      <c r="J837" s="48">
        <v>12</v>
      </c>
      <c r="K837" s="124">
        <f t="shared" si="71"/>
        <v>19</v>
      </c>
    </row>
    <row r="838" spans="1:11" ht="12.75">
      <c r="A838" s="6" t="s">
        <v>23</v>
      </c>
      <c r="B838" s="122">
        <f t="shared" si="70"/>
        <v>146</v>
      </c>
      <c r="C838" s="121">
        <f aca="true" t="shared" si="72" ref="C838:H838">SUM(C819:C837)</f>
        <v>8</v>
      </c>
      <c r="D838" s="119">
        <f t="shared" si="72"/>
        <v>10</v>
      </c>
      <c r="E838" s="119">
        <f t="shared" si="72"/>
        <v>8</v>
      </c>
      <c r="F838" s="119">
        <f t="shared" si="72"/>
        <v>12</v>
      </c>
      <c r="G838" s="119">
        <f t="shared" si="72"/>
        <v>50</v>
      </c>
      <c r="H838" s="119">
        <f t="shared" si="72"/>
        <v>58</v>
      </c>
      <c r="I838" s="39"/>
      <c r="J838" s="119">
        <f>SUM(J819:J837)</f>
        <v>287</v>
      </c>
      <c r="K838" s="122">
        <f t="shared" si="71"/>
        <v>433</v>
      </c>
    </row>
    <row r="839" spans="1:2" ht="12.75">
      <c r="A839" s="19" t="s">
        <v>238</v>
      </c>
      <c r="B839" s="20"/>
    </row>
    <row r="840" spans="1:2" ht="12.75">
      <c r="A840" s="19" t="s">
        <v>239</v>
      </c>
      <c r="B840" s="20"/>
    </row>
    <row r="841" spans="1:2" ht="12.75">
      <c r="A841" s="20"/>
      <c r="B841" s="20"/>
    </row>
  </sheetData>
  <sheetProtection/>
  <mergeCells count="52">
    <mergeCell ref="C3:F3"/>
    <mergeCell ref="G3:H3"/>
    <mergeCell ref="C648:F648"/>
    <mergeCell ref="G648:H648"/>
    <mergeCell ref="C582:F582"/>
    <mergeCell ref="G582:H582"/>
    <mergeCell ref="C420:F420"/>
    <mergeCell ref="G420:H420"/>
    <mergeCell ref="C484:F484"/>
    <mergeCell ref="G484:H484"/>
    <mergeCell ref="C681:F681"/>
    <mergeCell ref="G681:H681"/>
    <mergeCell ref="C615:F615"/>
    <mergeCell ref="G615:H615"/>
    <mergeCell ref="C813:F813"/>
    <mergeCell ref="G813:H813"/>
    <mergeCell ref="C747:F747"/>
    <mergeCell ref="G747:H747"/>
    <mergeCell ref="C780:F780"/>
    <mergeCell ref="G780:H780"/>
    <mergeCell ref="C452:F452"/>
    <mergeCell ref="G452:H452"/>
    <mergeCell ref="C388:F388"/>
    <mergeCell ref="G388:H388"/>
    <mergeCell ref="C714:F714"/>
    <mergeCell ref="G714:H714"/>
    <mergeCell ref="C516:F516"/>
    <mergeCell ref="G516:H516"/>
    <mergeCell ref="C549:F549"/>
    <mergeCell ref="G549:H549"/>
    <mergeCell ref="C356:F356"/>
    <mergeCell ref="G356:H356"/>
    <mergeCell ref="C100:F100"/>
    <mergeCell ref="G100:H100"/>
    <mergeCell ref="C324:F324"/>
    <mergeCell ref="G324:H324"/>
    <mergeCell ref="C292:F292"/>
    <mergeCell ref="G292:H292"/>
    <mergeCell ref="C196:F196"/>
    <mergeCell ref="G196:H196"/>
    <mergeCell ref="C164:F164"/>
    <mergeCell ref="G164:H164"/>
    <mergeCell ref="C228:F228"/>
    <mergeCell ref="G228:H228"/>
    <mergeCell ref="C260:F260"/>
    <mergeCell ref="G260:H260"/>
    <mergeCell ref="C33:F33"/>
    <mergeCell ref="G33:H33"/>
    <mergeCell ref="C68:F68"/>
    <mergeCell ref="G68:H68"/>
    <mergeCell ref="C132:F132"/>
    <mergeCell ref="G132:H13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G107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35" sqref="B35"/>
    </sheetView>
  </sheetViews>
  <sheetFormatPr defaultColWidth="11.421875" defaultRowHeight="12.75"/>
  <cols>
    <col min="1" max="1" width="18.8515625" style="0" customWidth="1"/>
    <col min="2" max="3" width="10.7109375" style="0" customWidth="1"/>
    <col min="4" max="4" width="12.00390625" style="0" customWidth="1"/>
    <col min="5" max="5" width="13.7109375" style="0" customWidth="1"/>
    <col min="6" max="6" width="14.00390625" style="0" hidden="1" customWidth="1"/>
    <col min="7" max="7" width="16.7109375" style="0" customWidth="1"/>
    <col min="8" max="8" width="15.421875" style="0" customWidth="1"/>
    <col min="9" max="9" width="15.8515625" style="0" customWidth="1"/>
    <col min="10" max="10" width="9.7109375" style="0" customWidth="1"/>
    <col min="11" max="12" width="11.7109375" style="0" customWidth="1"/>
    <col min="13" max="13" width="12.57421875" style="0" customWidth="1"/>
    <col min="14" max="14" width="10.8515625" style="0" customWidth="1"/>
    <col min="15" max="15" width="11.28125" style="26" customWidth="1"/>
    <col min="16" max="16" width="12.8515625" style="0" customWidth="1"/>
    <col min="17" max="17" width="15.421875" style="0" customWidth="1"/>
    <col min="18" max="18" width="15.28125" style="0" customWidth="1"/>
    <col min="19" max="19" width="15.28125" style="55" customWidth="1"/>
    <col min="20" max="20" width="15.7109375" style="0" customWidth="1"/>
    <col min="21" max="21" width="15.28125" style="0" customWidth="1"/>
    <col min="22" max="22" width="15.28125" style="55" customWidth="1"/>
    <col min="23" max="23" width="19.140625" style="0" customWidth="1"/>
    <col min="24" max="24" width="15.7109375" style="55" customWidth="1"/>
    <col min="25" max="25" width="15.7109375" style="0" customWidth="1"/>
    <col min="26" max="26" width="15.57421875" style="55" customWidth="1"/>
    <col min="27" max="27" width="11.421875" style="55" customWidth="1"/>
  </cols>
  <sheetData>
    <row r="1" spans="1:31" ht="12.75">
      <c r="A1" s="14" t="s">
        <v>462</v>
      </c>
      <c r="B1" s="11"/>
      <c r="C1" s="14"/>
      <c r="D1" s="11"/>
      <c r="E1" s="11"/>
      <c r="F1" s="11"/>
      <c r="G1" s="11"/>
      <c r="H1" s="11"/>
      <c r="I1" s="11"/>
      <c r="J1" s="11"/>
      <c r="K1" s="91"/>
      <c r="L1" s="91"/>
      <c r="M1" s="91"/>
      <c r="N1" s="81"/>
      <c r="O1" s="182"/>
      <c r="P1" s="80"/>
      <c r="Q1" s="91"/>
      <c r="R1" s="86"/>
      <c r="S1" s="80"/>
      <c r="T1" s="91"/>
      <c r="U1" s="86"/>
      <c r="V1" s="80"/>
      <c r="W1" s="55"/>
      <c r="X1" s="86"/>
      <c r="Y1" s="86"/>
      <c r="Z1" s="80"/>
      <c r="AA1" s="184"/>
      <c r="AB1" s="91"/>
      <c r="AC1" s="91"/>
      <c r="AE1" s="98"/>
    </row>
    <row r="2" spans="1:33" ht="12.75">
      <c r="A2" s="1"/>
      <c r="B2" s="12"/>
      <c r="C2" s="1"/>
      <c r="D2" s="12"/>
      <c r="E2" s="12"/>
      <c r="F2" s="1"/>
      <c r="G2" s="12"/>
      <c r="H2" s="12"/>
      <c r="I2" s="11"/>
      <c r="J2" s="11"/>
      <c r="K2" s="81"/>
      <c r="L2" s="81"/>
      <c r="M2" s="81"/>
      <c r="N2" s="81"/>
      <c r="O2" s="183" t="s">
        <v>24</v>
      </c>
      <c r="P2" s="82" t="s">
        <v>324</v>
      </c>
      <c r="Q2" s="82"/>
      <c r="R2" s="80"/>
      <c r="S2" s="80"/>
      <c r="T2" s="82"/>
      <c r="U2" s="80"/>
      <c r="V2" s="80"/>
      <c r="W2" s="56"/>
      <c r="X2" s="80"/>
      <c r="Y2" s="80"/>
      <c r="Z2" s="80"/>
      <c r="AA2" s="184" t="s">
        <v>24</v>
      </c>
      <c r="AB2" s="81" t="s">
        <v>47</v>
      </c>
      <c r="AC2" s="81" t="s">
        <v>47</v>
      </c>
      <c r="AD2" s="185" t="s">
        <v>396</v>
      </c>
      <c r="AE2" s="81" t="s">
        <v>24</v>
      </c>
      <c r="AF2" s="81" t="s">
        <v>24</v>
      </c>
      <c r="AG2" s="81" t="s">
        <v>24</v>
      </c>
    </row>
    <row r="3" spans="1:33" ht="14.25">
      <c r="A3" s="18"/>
      <c r="B3" s="8" t="s">
        <v>161</v>
      </c>
      <c r="C3" s="7" t="s">
        <v>161</v>
      </c>
      <c r="D3" s="10" t="s">
        <v>129</v>
      </c>
      <c r="E3" s="10" t="s">
        <v>130</v>
      </c>
      <c r="F3" s="10" t="s">
        <v>130</v>
      </c>
      <c r="G3" s="10" t="s">
        <v>130</v>
      </c>
      <c r="H3" s="7" t="s">
        <v>331</v>
      </c>
      <c r="I3" s="7" t="s">
        <v>331</v>
      </c>
      <c r="J3" s="11"/>
      <c r="K3" s="81"/>
      <c r="L3" s="81" t="s">
        <v>38</v>
      </c>
      <c r="M3" s="81"/>
      <c r="N3" s="98"/>
      <c r="O3" s="183" t="s">
        <v>40</v>
      </c>
      <c r="P3" s="81" t="s">
        <v>325</v>
      </c>
      <c r="Q3" s="98"/>
      <c r="R3" s="82" t="s">
        <v>18</v>
      </c>
      <c r="S3" s="81" t="s">
        <v>18</v>
      </c>
      <c r="T3" s="82"/>
      <c r="U3" s="82" t="s">
        <v>18</v>
      </c>
      <c r="V3" s="81" t="s">
        <v>18</v>
      </c>
      <c r="W3" s="56" t="s">
        <v>18</v>
      </c>
      <c r="X3" s="80"/>
      <c r="Y3" s="80"/>
      <c r="Z3" s="80"/>
      <c r="AA3" s="184" t="s">
        <v>36</v>
      </c>
      <c r="AB3" s="81" t="s">
        <v>206</v>
      </c>
      <c r="AC3" s="81" t="s">
        <v>206</v>
      </c>
      <c r="AD3" s="185" t="s">
        <v>389</v>
      </c>
      <c r="AE3" s="81" t="s">
        <v>36</v>
      </c>
      <c r="AF3" s="81" t="s">
        <v>36</v>
      </c>
      <c r="AG3" s="81" t="s">
        <v>36</v>
      </c>
    </row>
    <row r="4" spans="1:33" ht="12.75">
      <c r="A4" s="2"/>
      <c r="B4" s="5" t="s">
        <v>26</v>
      </c>
      <c r="C4" s="8" t="s">
        <v>25</v>
      </c>
      <c r="D4" s="8" t="s">
        <v>39</v>
      </c>
      <c r="E4" s="8" t="s">
        <v>131</v>
      </c>
      <c r="F4" s="8" t="s">
        <v>131</v>
      </c>
      <c r="G4" s="8" t="s">
        <v>132</v>
      </c>
      <c r="H4" s="8" t="s">
        <v>43</v>
      </c>
      <c r="I4" s="8" t="s">
        <v>134</v>
      </c>
      <c r="J4" s="11"/>
      <c r="K4" s="81" t="s">
        <v>38</v>
      </c>
      <c r="L4" s="81" t="s">
        <v>317</v>
      </c>
      <c r="M4" s="81"/>
      <c r="N4" s="81" t="s">
        <v>27</v>
      </c>
      <c r="O4" s="183" t="s">
        <v>39</v>
      </c>
      <c r="P4" s="82" t="s">
        <v>326</v>
      </c>
      <c r="Q4" s="82" t="s">
        <v>18</v>
      </c>
      <c r="R4" s="82" t="s">
        <v>28</v>
      </c>
      <c r="S4" s="81" t="s">
        <v>28</v>
      </c>
      <c r="T4" s="82" t="s">
        <v>18</v>
      </c>
      <c r="U4" s="82" t="s">
        <v>28</v>
      </c>
      <c r="V4" s="81" t="s">
        <v>28</v>
      </c>
      <c r="W4" s="56" t="s">
        <v>30</v>
      </c>
      <c r="X4" s="81" t="s">
        <v>31</v>
      </c>
      <c r="Y4" s="81" t="s">
        <v>18</v>
      </c>
      <c r="Z4" s="80"/>
      <c r="AA4" s="184" t="s">
        <v>43</v>
      </c>
      <c r="AB4" s="186" t="s">
        <v>397</v>
      </c>
      <c r="AC4" s="186" t="s">
        <v>388</v>
      </c>
      <c r="AD4" s="185" t="s">
        <v>398</v>
      </c>
      <c r="AE4" s="186" t="s">
        <v>399</v>
      </c>
      <c r="AF4" s="81" t="s">
        <v>134</v>
      </c>
      <c r="AG4" s="186" t="s">
        <v>385</v>
      </c>
    </row>
    <row r="5" spans="1:33" ht="12.75">
      <c r="A5" s="2"/>
      <c r="B5" s="13" t="s">
        <v>68</v>
      </c>
      <c r="C5" s="8" t="s">
        <v>49</v>
      </c>
      <c r="D5" s="8" t="s">
        <v>313</v>
      </c>
      <c r="E5" s="8" t="s">
        <v>419</v>
      </c>
      <c r="F5" s="8" t="s">
        <v>210</v>
      </c>
      <c r="G5" s="8" t="s">
        <v>21</v>
      </c>
      <c r="H5" s="8" t="s">
        <v>133</v>
      </c>
      <c r="I5" s="8" t="s">
        <v>135</v>
      </c>
      <c r="J5" s="11"/>
      <c r="K5" s="81" t="s">
        <v>68</v>
      </c>
      <c r="L5" s="81" t="s">
        <v>68</v>
      </c>
      <c r="M5" s="81" t="s">
        <v>24</v>
      </c>
      <c r="N5" s="81" t="s">
        <v>49</v>
      </c>
      <c r="O5" s="183" t="s">
        <v>313</v>
      </c>
      <c r="P5" s="82" t="s">
        <v>313</v>
      </c>
      <c r="Q5" s="82" t="s">
        <v>316</v>
      </c>
      <c r="R5" s="82" t="s">
        <v>318</v>
      </c>
      <c r="S5" s="82" t="s">
        <v>418</v>
      </c>
      <c r="T5" s="82" t="s">
        <v>316</v>
      </c>
      <c r="U5" s="82" t="s">
        <v>318</v>
      </c>
      <c r="V5" s="82" t="s">
        <v>418</v>
      </c>
      <c r="W5" s="82" t="s">
        <v>22</v>
      </c>
      <c r="X5" s="81" t="s">
        <v>32</v>
      </c>
      <c r="Y5" s="81" t="s">
        <v>21</v>
      </c>
      <c r="Z5" s="81" t="s">
        <v>219</v>
      </c>
      <c r="AA5" s="184" t="s">
        <v>44</v>
      </c>
      <c r="AB5" s="186" t="s">
        <v>386</v>
      </c>
      <c r="AC5" s="186" t="s">
        <v>389</v>
      </c>
      <c r="AD5" s="82" t="s">
        <v>306</v>
      </c>
      <c r="AE5" s="186" t="s">
        <v>390</v>
      </c>
      <c r="AF5" s="81" t="s">
        <v>135</v>
      </c>
      <c r="AG5" s="186" t="s">
        <v>390</v>
      </c>
    </row>
    <row r="6" spans="1:33" ht="14.25">
      <c r="A6" s="4"/>
      <c r="B6" s="9" t="s">
        <v>409</v>
      </c>
      <c r="C6" s="9" t="s">
        <v>26</v>
      </c>
      <c r="D6" s="9" t="s">
        <v>314</v>
      </c>
      <c r="E6" s="9" t="s">
        <v>410</v>
      </c>
      <c r="F6" s="9" t="s">
        <v>211</v>
      </c>
      <c r="G6" s="9" t="s">
        <v>46</v>
      </c>
      <c r="H6" s="9" t="s">
        <v>35</v>
      </c>
      <c r="I6" s="8" t="s">
        <v>35</v>
      </c>
      <c r="J6" s="11"/>
      <c r="K6" s="83" t="s">
        <v>409</v>
      </c>
      <c r="L6" s="83" t="s">
        <v>417</v>
      </c>
      <c r="M6" s="83" t="s">
        <v>314</v>
      </c>
      <c r="N6" s="83" t="s">
        <v>26</v>
      </c>
      <c r="O6" s="183" t="s">
        <v>314</v>
      </c>
      <c r="P6" s="83" t="s">
        <v>314</v>
      </c>
      <c r="Q6" s="83" t="s">
        <v>315</v>
      </c>
      <c r="R6" s="83" t="s">
        <v>409</v>
      </c>
      <c r="S6" s="83" t="s">
        <v>413</v>
      </c>
      <c r="T6" s="83" t="s">
        <v>315</v>
      </c>
      <c r="U6" s="83" t="s">
        <v>409</v>
      </c>
      <c r="V6" s="83" t="s">
        <v>413</v>
      </c>
      <c r="W6" s="83" t="s">
        <v>20</v>
      </c>
      <c r="X6" s="83" t="s">
        <v>19</v>
      </c>
      <c r="Y6" s="83" t="s">
        <v>19</v>
      </c>
      <c r="Z6" s="83" t="s">
        <v>220</v>
      </c>
      <c r="AA6" s="184" t="s">
        <v>37</v>
      </c>
      <c r="AB6" s="187"/>
      <c r="AC6" s="83"/>
      <c r="AD6" s="82" t="s">
        <v>42</v>
      </c>
      <c r="AE6" s="81" t="s">
        <v>35</v>
      </c>
      <c r="AF6" s="81" t="s">
        <v>35</v>
      </c>
      <c r="AG6" s="81" t="s">
        <v>35</v>
      </c>
    </row>
    <row r="7" spans="1:33" ht="14.25">
      <c r="A7" s="2" t="s">
        <v>0</v>
      </c>
      <c r="B7" s="66">
        <f aca="true" t="shared" si="0" ref="B7:B20">K7/M7*100</f>
        <v>0.3952569169960474</v>
      </c>
      <c r="C7" s="155">
        <f aca="true" t="shared" si="1" ref="C7:C19">N7/M7*100</f>
        <v>32.41106719367589</v>
      </c>
      <c r="D7" s="50">
        <f>O7/P7*100</f>
        <v>2.2937823799737966</v>
      </c>
      <c r="E7" s="50">
        <f>U7/X7*100</f>
        <v>0.11042097998619739</v>
      </c>
      <c r="F7" s="51">
        <f>W7/X7*100</f>
        <v>0</v>
      </c>
      <c r="G7" s="51">
        <f>Y7/Z7*100</f>
        <v>0.10895554008655912</v>
      </c>
      <c r="H7" s="200">
        <f>AA7/V7*100</f>
        <v>2.0858792438856066</v>
      </c>
      <c r="I7" s="97">
        <f>AF7/V7*100</f>
        <v>1.4408591290881854</v>
      </c>
      <c r="J7" s="15"/>
      <c r="K7" s="48">
        <v>1</v>
      </c>
      <c r="L7" s="58">
        <f>K7+M7</f>
        <v>254</v>
      </c>
      <c r="M7" s="176">
        <v>253</v>
      </c>
      <c r="N7" s="48">
        <v>82</v>
      </c>
      <c r="O7" s="177">
        <v>6898</v>
      </c>
      <c r="P7" s="151">
        <f>Q7+O7</f>
        <v>300726</v>
      </c>
      <c r="Q7" s="199">
        <v>293828</v>
      </c>
      <c r="R7" s="175">
        <v>289</v>
      </c>
      <c r="S7" s="84">
        <f>Q7+R7</f>
        <v>294117</v>
      </c>
      <c r="T7" s="180">
        <v>296717</v>
      </c>
      <c r="U7" s="175">
        <v>328</v>
      </c>
      <c r="V7" s="84">
        <f>T7+U7</f>
        <v>297045</v>
      </c>
      <c r="W7" s="180"/>
      <c r="X7" s="84">
        <f>V7+W7</f>
        <v>297045</v>
      </c>
      <c r="Y7" s="175">
        <v>324</v>
      </c>
      <c r="Z7" s="39">
        <f>X7+Y7</f>
        <v>297369</v>
      </c>
      <c r="AA7" s="88">
        <f>AB7+AC7+AD7</f>
        <v>6196</v>
      </c>
      <c r="AB7" s="175">
        <v>3806</v>
      </c>
      <c r="AC7" s="178">
        <v>657</v>
      </c>
      <c r="AD7" s="188">
        <v>1733</v>
      </c>
      <c r="AE7" s="189">
        <f>AF7+AG7</f>
        <v>5354</v>
      </c>
      <c r="AF7" s="190">
        <v>4280</v>
      </c>
      <c r="AG7" s="191">
        <v>1074</v>
      </c>
    </row>
    <row r="8" spans="1:33" ht="14.25">
      <c r="A8" s="2" t="s">
        <v>1</v>
      </c>
      <c r="B8" s="66">
        <f t="shared" si="0"/>
        <v>0.8130081300813009</v>
      </c>
      <c r="C8" s="50">
        <f t="shared" si="1"/>
        <v>32.31707317073171</v>
      </c>
      <c r="D8" s="50">
        <f aca="true" t="shared" si="2" ref="D8:D19">O8/P8*100</f>
        <v>4.379579668525363</v>
      </c>
      <c r="E8" s="50">
        <f>U8/X8*100</f>
        <v>0.07555225483293307</v>
      </c>
      <c r="F8" s="51">
        <f>W8/X8*100</f>
        <v>0</v>
      </c>
      <c r="G8" s="51">
        <f>Y8/Z8*100</f>
        <v>0.11897364757789883</v>
      </c>
      <c r="H8" s="200">
        <f>AA8/V8*100</f>
        <v>2.0095292290776516</v>
      </c>
      <c r="I8" s="51">
        <f aca="true" t="shared" si="3" ref="I8:I26">AF8/V8*100</f>
        <v>1.045996855740203</v>
      </c>
      <c r="J8" s="15"/>
      <c r="K8" s="48">
        <v>4</v>
      </c>
      <c r="L8" s="58">
        <f aca="true" t="shared" si="4" ref="L8:L20">K8+M8</f>
        <v>496</v>
      </c>
      <c r="M8" s="176">
        <v>492</v>
      </c>
      <c r="N8" s="48">
        <v>159</v>
      </c>
      <c r="O8" s="178">
        <v>27207</v>
      </c>
      <c r="P8" s="151">
        <f aca="true" t="shared" si="5" ref="P8:P25">Q8+O8</f>
        <v>621224</v>
      </c>
      <c r="Q8" s="199">
        <v>594017</v>
      </c>
      <c r="R8" s="175">
        <v>289</v>
      </c>
      <c r="S8" s="84">
        <f aca="true" t="shared" si="6" ref="S8:S25">Q8+R8</f>
        <v>594306</v>
      </c>
      <c r="T8" s="180">
        <v>621616</v>
      </c>
      <c r="U8" s="175">
        <v>470</v>
      </c>
      <c r="V8" s="84">
        <f aca="true" t="shared" si="7" ref="V8:V25">T8+U8</f>
        <v>622086</v>
      </c>
      <c r="W8" s="180"/>
      <c r="X8" s="84">
        <f aca="true" t="shared" si="8" ref="X8:X25">V8+W8</f>
        <v>622086</v>
      </c>
      <c r="Y8" s="175">
        <v>741</v>
      </c>
      <c r="Z8" s="39">
        <f aca="true" t="shared" si="9" ref="Z8:Z25">X8+Y8</f>
        <v>622827</v>
      </c>
      <c r="AA8" s="89">
        <f aca="true" t="shared" si="10" ref="AA8:AA25">AB8+AC8+AD8</f>
        <v>12501</v>
      </c>
      <c r="AB8" s="175">
        <v>8365</v>
      </c>
      <c r="AC8" s="178">
        <v>1238</v>
      </c>
      <c r="AD8" s="192">
        <v>2898</v>
      </c>
      <c r="AE8" s="193">
        <f aca="true" t="shared" si="11" ref="AE8:AE25">AF8+AG8</f>
        <v>9628</v>
      </c>
      <c r="AF8" s="180">
        <v>6507</v>
      </c>
      <c r="AG8" s="194">
        <v>3121</v>
      </c>
    </row>
    <row r="9" spans="1:33" ht="14.25">
      <c r="A9" s="2" t="s">
        <v>2</v>
      </c>
      <c r="B9" s="66">
        <f t="shared" si="0"/>
        <v>0.5692599620493358</v>
      </c>
      <c r="C9" s="50">
        <f t="shared" si="1"/>
        <v>31.119544592030362</v>
      </c>
      <c r="D9" s="50">
        <f t="shared" si="2"/>
        <v>3.0133967469256113</v>
      </c>
      <c r="E9" s="50">
        <f>U9/X9*100</f>
        <v>0.06658338832846233</v>
      </c>
      <c r="F9" s="51">
        <f>W9/X9*100</f>
        <v>0</v>
      </c>
      <c r="G9" s="51">
        <f>Y9/Z9*100</f>
        <v>0.15340694317177314</v>
      </c>
      <c r="H9" s="200">
        <f>AA9/V9*100</f>
        <v>2.530463373244084</v>
      </c>
      <c r="I9" s="51">
        <f t="shared" si="3"/>
        <v>0.6425591590459131</v>
      </c>
      <c r="J9" s="15"/>
      <c r="K9" s="48">
        <v>3</v>
      </c>
      <c r="L9" s="58">
        <f t="shared" si="4"/>
        <v>530</v>
      </c>
      <c r="M9" s="176">
        <v>527</v>
      </c>
      <c r="N9" s="48">
        <v>164</v>
      </c>
      <c r="O9" s="178">
        <v>22480</v>
      </c>
      <c r="P9" s="151">
        <f t="shared" si="5"/>
        <v>746002</v>
      </c>
      <c r="Q9" s="199">
        <v>723522</v>
      </c>
      <c r="R9" s="175">
        <v>268</v>
      </c>
      <c r="S9" s="84">
        <f t="shared" si="6"/>
        <v>723790</v>
      </c>
      <c r="T9" s="180">
        <v>678396</v>
      </c>
      <c r="U9" s="175">
        <v>452</v>
      </c>
      <c r="V9" s="84">
        <f t="shared" si="7"/>
        <v>678848</v>
      </c>
      <c r="W9" s="180"/>
      <c r="X9" s="84">
        <f t="shared" si="8"/>
        <v>678848</v>
      </c>
      <c r="Y9" s="175">
        <v>1043</v>
      </c>
      <c r="Z9" s="39">
        <f t="shared" si="9"/>
        <v>679891</v>
      </c>
      <c r="AA9" s="89">
        <f t="shared" si="10"/>
        <v>17178</v>
      </c>
      <c r="AB9" s="175">
        <v>11020</v>
      </c>
      <c r="AC9" s="178">
        <v>1484</v>
      </c>
      <c r="AD9" s="192">
        <v>4674</v>
      </c>
      <c r="AE9" s="193">
        <f t="shared" si="11"/>
        <v>10085</v>
      </c>
      <c r="AF9" s="180">
        <v>4362</v>
      </c>
      <c r="AG9" s="194">
        <v>5723</v>
      </c>
    </row>
    <row r="10" spans="1:33" ht="14.25">
      <c r="A10" s="2" t="s">
        <v>3</v>
      </c>
      <c r="B10" s="66">
        <f t="shared" si="0"/>
        <v>3.804347826086957</v>
      </c>
      <c r="C10" s="50">
        <f t="shared" si="1"/>
        <v>35.32608695652174</v>
      </c>
      <c r="D10" s="50">
        <f>O10/P10*100</f>
        <v>5.1145765431479715</v>
      </c>
      <c r="E10" s="50">
        <f>U10/X10*100</f>
        <v>1.9727676710155688</v>
      </c>
      <c r="F10" s="51">
        <f>W10/X10*100</f>
        <v>0</v>
      </c>
      <c r="G10" s="51">
        <f>Y10/Z10*100</f>
        <v>0.322328876815634</v>
      </c>
      <c r="H10" s="200">
        <f>AA10/V10*100</f>
        <v>2.0464922360406352</v>
      </c>
      <c r="I10" s="51">
        <f t="shared" si="3"/>
        <v>2.6988275251934635</v>
      </c>
      <c r="J10" s="15"/>
      <c r="K10" s="48">
        <v>7</v>
      </c>
      <c r="L10" s="58">
        <f t="shared" si="4"/>
        <v>191</v>
      </c>
      <c r="M10" s="176">
        <v>184</v>
      </c>
      <c r="N10" s="48">
        <v>65</v>
      </c>
      <c r="O10" s="178">
        <v>10200</v>
      </c>
      <c r="P10" s="151">
        <f t="shared" si="5"/>
        <v>199430</v>
      </c>
      <c r="Q10" s="199">
        <v>189230</v>
      </c>
      <c r="R10" s="175">
        <v>4642</v>
      </c>
      <c r="S10" s="84">
        <f t="shared" si="6"/>
        <v>193872</v>
      </c>
      <c r="T10" s="180">
        <v>192798</v>
      </c>
      <c r="U10" s="175">
        <v>3880</v>
      </c>
      <c r="V10" s="84">
        <f t="shared" si="7"/>
        <v>196678</v>
      </c>
      <c r="W10" s="180"/>
      <c r="X10" s="84">
        <f t="shared" si="8"/>
        <v>196678</v>
      </c>
      <c r="Y10" s="175">
        <v>636</v>
      </c>
      <c r="Z10" s="39">
        <f t="shared" si="9"/>
        <v>197314</v>
      </c>
      <c r="AA10" s="89">
        <f t="shared" si="10"/>
        <v>4025</v>
      </c>
      <c r="AB10" s="175">
        <v>2721</v>
      </c>
      <c r="AC10" s="178">
        <v>521</v>
      </c>
      <c r="AD10" s="192">
        <v>783</v>
      </c>
      <c r="AE10" s="193">
        <f t="shared" si="11"/>
        <v>6029</v>
      </c>
      <c r="AF10" s="180">
        <v>5308</v>
      </c>
      <c r="AG10" s="194">
        <v>721</v>
      </c>
    </row>
    <row r="11" spans="1:33" ht="14.25">
      <c r="A11" s="2" t="s">
        <v>4</v>
      </c>
      <c r="B11" s="66">
        <f t="shared" si="0"/>
        <v>4.232804232804233</v>
      </c>
      <c r="C11" s="50">
        <f t="shared" si="1"/>
        <v>36.507936507936506</v>
      </c>
      <c r="D11" s="50">
        <f t="shared" si="2"/>
        <v>5.033188135241652</v>
      </c>
      <c r="E11" s="50">
        <f aca="true" t="shared" si="12" ref="E11:E19">U11/X11*100</f>
        <v>2.679501758654431</v>
      </c>
      <c r="F11" s="51">
        <f aca="true" t="shared" si="13" ref="F11:F19">W11/X11*100</f>
        <v>0</v>
      </c>
      <c r="G11" s="51">
        <f aca="true" t="shared" si="14" ref="G11:G19">Y11/Z11*100</f>
        <v>0.14049468919511332</v>
      </c>
      <c r="H11" s="200">
        <f aca="true" t="shared" si="15" ref="H11:H19">AA11/V11*100</f>
        <v>1.6359453098140853</v>
      </c>
      <c r="I11" s="51">
        <f t="shared" si="3"/>
        <v>1.2027609552270384</v>
      </c>
      <c r="J11" s="15"/>
      <c r="K11" s="48">
        <v>8</v>
      </c>
      <c r="L11" s="58">
        <f t="shared" si="4"/>
        <v>197</v>
      </c>
      <c r="M11" s="176">
        <v>189</v>
      </c>
      <c r="N11" s="48">
        <v>69</v>
      </c>
      <c r="O11" s="178">
        <v>9706</v>
      </c>
      <c r="P11" s="151">
        <f t="shared" si="5"/>
        <v>192840</v>
      </c>
      <c r="Q11" s="199">
        <v>183134</v>
      </c>
      <c r="R11" s="175">
        <v>5533</v>
      </c>
      <c r="S11" s="84">
        <f t="shared" si="6"/>
        <v>188667</v>
      </c>
      <c r="T11" s="180">
        <v>183999</v>
      </c>
      <c r="U11" s="175">
        <v>5066</v>
      </c>
      <c r="V11" s="84">
        <f t="shared" si="7"/>
        <v>189065</v>
      </c>
      <c r="W11" s="180"/>
      <c r="X11" s="84">
        <f t="shared" si="8"/>
        <v>189065</v>
      </c>
      <c r="Y11" s="175">
        <v>266</v>
      </c>
      <c r="Z11" s="39">
        <f t="shared" si="9"/>
        <v>189331</v>
      </c>
      <c r="AA11" s="89">
        <f t="shared" si="10"/>
        <v>3093</v>
      </c>
      <c r="AB11" s="175">
        <v>2016</v>
      </c>
      <c r="AC11" s="178">
        <v>369</v>
      </c>
      <c r="AD11" s="192">
        <v>708</v>
      </c>
      <c r="AE11" s="193">
        <f t="shared" si="11"/>
        <v>2877</v>
      </c>
      <c r="AF11" s="180">
        <v>2274</v>
      </c>
      <c r="AG11" s="194">
        <v>603</v>
      </c>
    </row>
    <row r="12" spans="1:33" ht="14.25">
      <c r="A12" s="2" t="s">
        <v>5</v>
      </c>
      <c r="B12" s="66">
        <f t="shared" si="0"/>
        <v>1.1904761904761905</v>
      </c>
      <c r="C12" s="50">
        <f t="shared" si="1"/>
        <v>37.698412698412696</v>
      </c>
      <c r="D12" s="50">
        <f t="shared" si="2"/>
        <v>6.942815372464669</v>
      </c>
      <c r="E12" s="50">
        <f t="shared" si="12"/>
        <v>0.6822319235051875</v>
      </c>
      <c r="F12" s="51">
        <f t="shared" si="13"/>
        <v>0</v>
      </c>
      <c r="G12" s="51">
        <f t="shared" si="14"/>
        <v>0.07135363497317174</v>
      </c>
      <c r="H12" s="200">
        <f t="shared" si="15"/>
        <v>1.9328726205836089</v>
      </c>
      <c r="I12" s="51">
        <f t="shared" si="3"/>
        <v>0.9731525831138762</v>
      </c>
      <c r="J12" s="15"/>
      <c r="K12" s="48">
        <v>3</v>
      </c>
      <c r="L12" s="58">
        <f t="shared" si="4"/>
        <v>255</v>
      </c>
      <c r="M12" s="176">
        <v>252</v>
      </c>
      <c r="N12" s="47">
        <v>95</v>
      </c>
      <c r="O12" s="178">
        <v>20658</v>
      </c>
      <c r="P12" s="151">
        <f t="shared" si="5"/>
        <v>297545</v>
      </c>
      <c r="Q12" s="199">
        <v>276887</v>
      </c>
      <c r="R12" s="175">
        <v>1994</v>
      </c>
      <c r="S12" s="84">
        <f t="shared" si="6"/>
        <v>278881</v>
      </c>
      <c r="T12" s="180">
        <v>280965</v>
      </c>
      <c r="U12" s="175">
        <v>1930</v>
      </c>
      <c r="V12" s="84">
        <f t="shared" si="7"/>
        <v>282895</v>
      </c>
      <c r="W12" s="180"/>
      <c r="X12" s="84">
        <f t="shared" si="8"/>
        <v>282895</v>
      </c>
      <c r="Y12" s="175">
        <v>202</v>
      </c>
      <c r="Z12" s="39">
        <f t="shared" si="9"/>
        <v>283097</v>
      </c>
      <c r="AA12" s="89">
        <f t="shared" si="10"/>
        <v>5468</v>
      </c>
      <c r="AB12" s="175">
        <v>3827</v>
      </c>
      <c r="AC12" s="178">
        <v>595</v>
      </c>
      <c r="AD12" s="192">
        <v>1046</v>
      </c>
      <c r="AE12" s="193">
        <f t="shared" si="11"/>
        <v>4050</v>
      </c>
      <c r="AF12" s="180">
        <v>2753</v>
      </c>
      <c r="AG12" s="194">
        <v>1297</v>
      </c>
    </row>
    <row r="13" spans="1:33" ht="14.25">
      <c r="A13" s="2" t="s">
        <v>6</v>
      </c>
      <c r="B13" s="66">
        <f t="shared" si="0"/>
        <v>0.4807692307692308</v>
      </c>
      <c r="C13" s="50">
        <f t="shared" si="1"/>
        <v>24.519230769230766</v>
      </c>
      <c r="D13" s="50">
        <f t="shared" si="2"/>
        <v>2.2137386535552195</v>
      </c>
      <c r="E13" s="50">
        <f t="shared" si="12"/>
        <v>0.3524032386017086</v>
      </c>
      <c r="F13" s="51">
        <f t="shared" si="13"/>
        <v>0</v>
      </c>
      <c r="G13" s="51">
        <f t="shared" si="14"/>
        <v>0.08006373232423819</v>
      </c>
      <c r="H13" s="200">
        <f t="shared" si="15"/>
        <v>1.9820688940358544</v>
      </c>
      <c r="I13" s="51">
        <f t="shared" si="3"/>
        <v>4.840362130205821</v>
      </c>
      <c r="J13" s="15"/>
      <c r="K13" s="48">
        <v>1</v>
      </c>
      <c r="L13" s="58">
        <f t="shared" si="4"/>
        <v>209</v>
      </c>
      <c r="M13" s="176">
        <v>208</v>
      </c>
      <c r="N13" s="47">
        <v>51</v>
      </c>
      <c r="O13" s="178">
        <v>5619</v>
      </c>
      <c r="P13" s="151">
        <f t="shared" si="5"/>
        <v>253824</v>
      </c>
      <c r="Q13" s="199">
        <v>248205</v>
      </c>
      <c r="R13" s="175">
        <v>788</v>
      </c>
      <c r="S13" s="84">
        <f t="shared" si="6"/>
        <v>248993</v>
      </c>
      <c r="T13" s="180">
        <v>249965</v>
      </c>
      <c r="U13" s="175">
        <v>884</v>
      </c>
      <c r="V13" s="84">
        <f t="shared" si="7"/>
        <v>250849</v>
      </c>
      <c r="W13" s="180"/>
      <c r="X13" s="84">
        <f t="shared" si="8"/>
        <v>250849</v>
      </c>
      <c r="Y13" s="175">
        <v>201</v>
      </c>
      <c r="Z13" s="39">
        <f t="shared" si="9"/>
        <v>251050</v>
      </c>
      <c r="AA13" s="89">
        <f t="shared" si="10"/>
        <v>4972</v>
      </c>
      <c r="AB13" s="175">
        <v>2980</v>
      </c>
      <c r="AC13" s="178">
        <v>624</v>
      </c>
      <c r="AD13" s="192">
        <v>1368</v>
      </c>
      <c r="AE13" s="193">
        <f t="shared" si="11"/>
        <v>13350</v>
      </c>
      <c r="AF13" s="180">
        <v>12142</v>
      </c>
      <c r="AG13" s="194">
        <v>1208</v>
      </c>
    </row>
    <row r="14" spans="1:33" ht="14.25">
      <c r="A14" s="3" t="s">
        <v>7</v>
      </c>
      <c r="B14" s="66">
        <f t="shared" si="0"/>
        <v>2.4242424242424243</v>
      </c>
      <c r="C14" s="50">
        <f t="shared" si="1"/>
        <v>43.03030303030303</v>
      </c>
      <c r="D14" s="50">
        <f t="shared" si="2"/>
        <v>4.9071139334739495</v>
      </c>
      <c r="E14" s="50">
        <f t="shared" si="12"/>
        <v>2.1618311437715922</v>
      </c>
      <c r="F14" s="51">
        <f t="shared" si="13"/>
        <v>0</v>
      </c>
      <c r="G14" s="51">
        <f t="shared" si="14"/>
        <v>0.060623906604541596</v>
      </c>
      <c r="H14" s="200">
        <f t="shared" si="15"/>
        <v>2.6274740892231967</v>
      </c>
      <c r="I14" s="51">
        <f t="shared" si="3"/>
        <v>1.9359423203577246</v>
      </c>
      <c r="J14" s="15"/>
      <c r="K14" s="48">
        <v>4</v>
      </c>
      <c r="L14" s="58">
        <f t="shared" si="4"/>
        <v>169</v>
      </c>
      <c r="M14" s="176">
        <v>165</v>
      </c>
      <c r="N14" s="47">
        <v>71</v>
      </c>
      <c r="O14" s="178">
        <v>8701</v>
      </c>
      <c r="P14" s="151">
        <f t="shared" si="5"/>
        <v>177314</v>
      </c>
      <c r="Q14" s="199">
        <v>168613</v>
      </c>
      <c r="R14" s="175">
        <v>3760</v>
      </c>
      <c r="S14" s="84">
        <f t="shared" si="6"/>
        <v>172373</v>
      </c>
      <c r="T14" s="180">
        <v>169352</v>
      </c>
      <c r="U14" s="175">
        <v>3742</v>
      </c>
      <c r="V14" s="84">
        <f t="shared" si="7"/>
        <v>173094</v>
      </c>
      <c r="W14" s="180"/>
      <c r="X14" s="84">
        <f t="shared" si="8"/>
        <v>173094</v>
      </c>
      <c r="Y14" s="175">
        <v>105</v>
      </c>
      <c r="Z14" s="39">
        <f t="shared" si="9"/>
        <v>173199</v>
      </c>
      <c r="AA14" s="89">
        <f t="shared" si="10"/>
        <v>4548</v>
      </c>
      <c r="AB14" s="175">
        <v>3281</v>
      </c>
      <c r="AC14" s="178">
        <v>639</v>
      </c>
      <c r="AD14" s="192">
        <v>628</v>
      </c>
      <c r="AE14" s="193">
        <f t="shared" si="11"/>
        <v>3950</v>
      </c>
      <c r="AF14" s="180">
        <v>3351</v>
      </c>
      <c r="AG14" s="194">
        <v>599</v>
      </c>
    </row>
    <row r="15" spans="1:33" ht="14.25">
      <c r="A15" s="2" t="s">
        <v>8</v>
      </c>
      <c r="B15" s="66">
        <f t="shared" si="0"/>
        <v>0.8928571428571428</v>
      </c>
      <c r="C15" s="50">
        <f t="shared" si="1"/>
        <v>30.357142857142854</v>
      </c>
      <c r="D15" s="50">
        <f t="shared" si="2"/>
        <v>2.866374728965605</v>
      </c>
      <c r="E15" s="50">
        <f t="shared" si="12"/>
        <v>0.6940482171902543</v>
      </c>
      <c r="F15" s="51">
        <f t="shared" si="13"/>
        <v>0</v>
      </c>
      <c r="G15" s="51">
        <f t="shared" si="14"/>
        <v>0.09188752286552941</v>
      </c>
      <c r="H15" s="200">
        <f t="shared" si="15"/>
        <v>1.6776380219200013</v>
      </c>
      <c r="I15" s="51">
        <f t="shared" si="3"/>
        <v>1.5694857230449555</v>
      </c>
      <c r="J15" s="15"/>
      <c r="K15" s="48">
        <v>1</v>
      </c>
      <c r="L15" s="58">
        <f t="shared" si="4"/>
        <v>113</v>
      </c>
      <c r="M15" s="176">
        <v>112</v>
      </c>
      <c r="N15" s="47">
        <v>34</v>
      </c>
      <c r="O15" s="178">
        <v>3371</v>
      </c>
      <c r="P15" s="151">
        <f t="shared" si="5"/>
        <v>117605</v>
      </c>
      <c r="Q15" s="199">
        <v>114234</v>
      </c>
      <c r="R15" s="175">
        <v>800</v>
      </c>
      <c r="S15" s="84">
        <f t="shared" si="6"/>
        <v>115034</v>
      </c>
      <c r="T15" s="180">
        <v>116612</v>
      </c>
      <c r="U15" s="175">
        <v>815</v>
      </c>
      <c r="V15" s="84">
        <f t="shared" si="7"/>
        <v>117427</v>
      </c>
      <c r="W15" s="180"/>
      <c r="X15" s="84">
        <f t="shared" si="8"/>
        <v>117427</v>
      </c>
      <c r="Y15" s="175">
        <v>108</v>
      </c>
      <c r="Z15" s="39">
        <f t="shared" si="9"/>
        <v>117535</v>
      </c>
      <c r="AA15" s="89">
        <f t="shared" si="10"/>
        <v>1970</v>
      </c>
      <c r="AB15" s="175">
        <v>1278</v>
      </c>
      <c r="AC15" s="178">
        <v>276</v>
      </c>
      <c r="AD15" s="192">
        <v>416</v>
      </c>
      <c r="AE15" s="193">
        <f t="shared" si="11"/>
        <v>2279</v>
      </c>
      <c r="AF15" s="180">
        <v>1843</v>
      </c>
      <c r="AG15" s="194">
        <v>436</v>
      </c>
    </row>
    <row r="16" spans="1:33" ht="14.25">
      <c r="A16" s="2" t="s">
        <v>9</v>
      </c>
      <c r="B16" s="66">
        <f t="shared" si="0"/>
        <v>1.6853932584269662</v>
      </c>
      <c r="C16" s="50">
        <f t="shared" si="1"/>
        <v>42.69662921348314</v>
      </c>
      <c r="D16" s="50">
        <f t="shared" si="2"/>
        <v>5.506139976394365</v>
      </c>
      <c r="E16" s="50">
        <f t="shared" si="12"/>
        <v>1.0265503741407582</v>
      </c>
      <c r="F16" s="51">
        <f t="shared" si="13"/>
        <v>0</v>
      </c>
      <c r="G16" s="51">
        <f t="shared" si="14"/>
        <v>0.10191014832995411</v>
      </c>
      <c r="H16" s="200">
        <f t="shared" si="15"/>
        <v>2.5909447788537032</v>
      </c>
      <c r="I16" s="51">
        <f t="shared" si="3"/>
        <v>2.7330167869293756</v>
      </c>
      <c r="J16" s="15"/>
      <c r="K16" s="48">
        <v>3</v>
      </c>
      <c r="L16" s="58">
        <f t="shared" si="4"/>
        <v>181</v>
      </c>
      <c r="M16" s="176">
        <v>178</v>
      </c>
      <c r="N16" s="47">
        <v>76</v>
      </c>
      <c r="O16" s="178">
        <v>10963</v>
      </c>
      <c r="P16" s="151">
        <f t="shared" si="5"/>
        <v>199105</v>
      </c>
      <c r="Q16" s="199">
        <v>188142</v>
      </c>
      <c r="R16" s="175">
        <v>2003</v>
      </c>
      <c r="S16" s="84">
        <f t="shared" si="6"/>
        <v>190145</v>
      </c>
      <c r="T16" s="180">
        <v>185307</v>
      </c>
      <c r="U16" s="175">
        <v>1922</v>
      </c>
      <c r="V16" s="84">
        <f t="shared" si="7"/>
        <v>187229</v>
      </c>
      <c r="W16" s="180"/>
      <c r="X16" s="84">
        <f t="shared" si="8"/>
        <v>187229</v>
      </c>
      <c r="Y16" s="175">
        <v>191</v>
      </c>
      <c r="Z16" s="39">
        <f t="shared" si="9"/>
        <v>187420</v>
      </c>
      <c r="AA16" s="89">
        <f t="shared" si="10"/>
        <v>4851</v>
      </c>
      <c r="AB16" s="175">
        <v>3377</v>
      </c>
      <c r="AC16" s="178">
        <v>885</v>
      </c>
      <c r="AD16" s="192">
        <v>589</v>
      </c>
      <c r="AE16" s="193">
        <f t="shared" si="11"/>
        <v>5860</v>
      </c>
      <c r="AF16" s="180">
        <v>5117</v>
      </c>
      <c r="AG16" s="194">
        <v>743</v>
      </c>
    </row>
    <row r="17" spans="1:33" ht="14.25">
      <c r="A17" s="2" t="s">
        <v>10</v>
      </c>
      <c r="B17" s="66">
        <f t="shared" si="0"/>
        <v>1.5037593984962405</v>
      </c>
      <c r="C17" s="50">
        <f t="shared" si="1"/>
        <v>29.82456140350877</v>
      </c>
      <c r="D17" s="50">
        <f t="shared" si="2"/>
        <v>2.047473267089322</v>
      </c>
      <c r="E17" s="50">
        <f t="shared" si="12"/>
        <v>0.9841169664457768</v>
      </c>
      <c r="F17" s="51">
        <f t="shared" si="13"/>
        <v>0</v>
      </c>
      <c r="G17" s="51">
        <f t="shared" si="14"/>
        <v>0.08890794559590393</v>
      </c>
      <c r="H17" s="200">
        <f t="shared" si="15"/>
        <v>1.7210476491006625</v>
      </c>
      <c r="I17" s="51">
        <f t="shared" si="3"/>
        <v>1.4292626485747344</v>
      </c>
      <c r="J17" s="15"/>
      <c r="K17" s="48">
        <v>6</v>
      </c>
      <c r="L17" s="58">
        <f t="shared" si="4"/>
        <v>405</v>
      </c>
      <c r="M17" s="176">
        <v>399</v>
      </c>
      <c r="N17" s="47">
        <v>119</v>
      </c>
      <c r="O17" s="178">
        <v>9905</v>
      </c>
      <c r="P17" s="151">
        <f t="shared" si="5"/>
        <v>483767</v>
      </c>
      <c r="Q17" s="199">
        <v>473862</v>
      </c>
      <c r="R17" s="175">
        <v>4706</v>
      </c>
      <c r="S17" s="84">
        <f t="shared" si="6"/>
        <v>478568</v>
      </c>
      <c r="T17" s="180">
        <v>470672</v>
      </c>
      <c r="U17" s="175">
        <v>4678</v>
      </c>
      <c r="V17" s="84">
        <f t="shared" si="7"/>
        <v>475350</v>
      </c>
      <c r="W17" s="180"/>
      <c r="X17" s="84">
        <f t="shared" si="8"/>
        <v>475350</v>
      </c>
      <c r="Y17" s="175">
        <v>423</v>
      </c>
      <c r="Z17" s="39">
        <f t="shared" si="9"/>
        <v>475773</v>
      </c>
      <c r="AA17" s="89">
        <f t="shared" si="10"/>
        <v>8181</v>
      </c>
      <c r="AB17" s="175">
        <v>5333</v>
      </c>
      <c r="AC17" s="178">
        <v>734</v>
      </c>
      <c r="AD17" s="192">
        <v>2114</v>
      </c>
      <c r="AE17" s="193">
        <f t="shared" si="11"/>
        <v>9449</v>
      </c>
      <c r="AF17" s="180">
        <v>6794</v>
      </c>
      <c r="AG17" s="194">
        <v>2655</v>
      </c>
    </row>
    <row r="18" spans="1:33" ht="14.25">
      <c r="A18" s="3" t="s">
        <v>11</v>
      </c>
      <c r="B18" s="66">
        <f t="shared" si="0"/>
        <v>1.0570824524312896</v>
      </c>
      <c r="C18" s="50">
        <f t="shared" si="1"/>
        <v>27.695560253699792</v>
      </c>
      <c r="D18" s="50">
        <f t="shared" si="2"/>
        <v>2.7969330983641347</v>
      </c>
      <c r="E18" s="50">
        <f t="shared" si="12"/>
        <v>0.15124923850209782</v>
      </c>
      <c r="F18" s="51">
        <f t="shared" si="13"/>
        <v>0</v>
      </c>
      <c r="G18" s="51">
        <f t="shared" si="14"/>
        <v>0.17804957555955034</v>
      </c>
      <c r="H18" s="200">
        <f t="shared" si="15"/>
        <v>1.5894538030971719</v>
      </c>
      <c r="I18" s="51">
        <f t="shared" si="3"/>
        <v>0.9044398908408274</v>
      </c>
      <c r="J18" s="15"/>
      <c r="K18" s="48">
        <v>5</v>
      </c>
      <c r="L18" s="58">
        <f t="shared" si="4"/>
        <v>478</v>
      </c>
      <c r="M18" s="176">
        <v>473</v>
      </c>
      <c r="N18" s="47">
        <v>131</v>
      </c>
      <c r="O18" s="178">
        <v>15157</v>
      </c>
      <c r="P18" s="151">
        <f t="shared" si="5"/>
        <v>541915</v>
      </c>
      <c r="Q18" s="199">
        <v>526758</v>
      </c>
      <c r="R18" s="175">
        <v>693</v>
      </c>
      <c r="S18" s="84">
        <f t="shared" si="6"/>
        <v>527451</v>
      </c>
      <c r="T18" s="180">
        <v>522847</v>
      </c>
      <c r="U18" s="175">
        <v>792</v>
      </c>
      <c r="V18" s="84">
        <f t="shared" si="7"/>
        <v>523639</v>
      </c>
      <c r="W18" s="180"/>
      <c r="X18" s="84">
        <f t="shared" si="8"/>
        <v>523639</v>
      </c>
      <c r="Y18" s="175">
        <v>934</v>
      </c>
      <c r="Z18" s="39">
        <f t="shared" si="9"/>
        <v>524573</v>
      </c>
      <c r="AA18" s="89">
        <f t="shared" si="10"/>
        <v>8323</v>
      </c>
      <c r="AB18" s="175">
        <v>5516</v>
      </c>
      <c r="AC18" s="178">
        <v>722</v>
      </c>
      <c r="AD18" s="192">
        <v>2085</v>
      </c>
      <c r="AE18" s="193">
        <f t="shared" si="11"/>
        <v>7692</v>
      </c>
      <c r="AF18" s="180">
        <v>4736</v>
      </c>
      <c r="AG18" s="194">
        <v>2956</v>
      </c>
    </row>
    <row r="19" spans="1:33" ht="14.25">
      <c r="A19" s="2" t="s">
        <v>12</v>
      </c>
      <c r="B19" s="66">
        <f t="shared" si="0"/>
        <v>3.64963503649635</v>
      </c>
      <c r="C19" s="50">
        <f t="shared" si="1"/>
        <v>50.36496350364964</v>
      </c>
      <c r="D19" s="50">
        <f t="shared" si="2"/>
        <v>9.530020616821645</v>
      </c>
      <c r="E19" s="50">
        <f t="shared" si="12"/>
        <v>1.5022711932429722</v>
      </c>
      <c r="F19" s="51">
        <f t="shared" si="13"/>
        <v>0</v>
      </c>
      <c r="G19" s="51">
        <f t="shared" si="14"/>
        <v>0.13754155850070593</v>
      </c>
      <c r="H19" s="200">
        <f t="shared" si="15"/>
        <v>2.0550194282795484</v>
      </c>
      <c r="I19" s="51">
        <f t="shared" si="3"/>
        <v>4.672820475399967</v>
      </c>
      <c r="J19" s="15"/>
      <c r="K19" s="48">
        <v>5</v>
      </c>
      <c r="L19" s="58">
        <f t="shared" si="4"/>
        <v>142</v>
      </c>
      <c r="M19" s="176">
        <v>137</v>
      </c>
      <c r="N19" s="47">
        <v>69</v>
      </c>
      <c r="O19" s="178">
        <v>11325</v>
      </c>
      <c r="P19" s="151">
        <f t="shared" si="5"/>
        <v>118835</v>
      </c>
      <c r="Q19" s="199">
        <v>107510</v>
      </c>
      <c r="R19" s="175">
        <v>1707</v>
      </c>
      <c r="S19" s="84">
        <f t="shared" si="6"/>
        <v>109217</v>
      </c>
      <c r="T19" s="180">
        <v>107987</v>
      </c>
      <c r="U19" s="175">
        <v>1647</v>
      </c>
      <c r="V19" s="84">
        <f t="shared" si="7"/>
        <v>109634</v>
      </c>
      <c r="W19" s="180"/>
      <c r="X19" s="84">
        <f t="shared" si="8"/>
        <v>109634</v>
      </c>
      <c r="Y19" s="175">
        <v>151</v>
      </c>
      <c r="Z19" s="39">
        <f t="shared" si="9"/>
        <v>109785</v>
      </c>
      <c r="AA19" s="89">
        <f t="shared" si="10"/>
        <v>2253</v>
      </c>
      <c r="AB19" s="175">
        <v>1692</v>
      </c>
      <c r="AC19" s="178">
        <v>214</v>
      </c>
      <c r="AD19" s="192">
        <v>347</v>
      </c>
      <c r="AE19" s="193">
        <f t="shared" si="11"/>
        <v>5665</v>
      </c>
      <c r="AF19" s="180">
        <v>5123</v>
      </c>
      <c r="AG19" s="194">
        <v>542</v>
      </c>
    </row>
    <row r="20" spans="1:33" ht="14.25">
      <c r="A20" s="2" t="s">
        <v>13</v>
      </c>
      <c r="B20" s="66">
        <f t="shared" si="0"/>
        <v>3.4482758620689653</v>
      </c>
      <c r="C20" s="50">
        <f>N20/M20*100</f>
        <v>29.50191570881226</v>
      </c>
      <c r="D20" s="50">
        <f>O20/P20*100</f>
        <v>3.4218145292327686</v>
      </c>
      <c r="E20" s="50">
        <f aca="true" t="shared" si="16" ref="E20:E25">U20/X20*100</f>
        <v>1.3896596721213121</v>
      </c>
      <c r="F20" s="51">
        <f aca="true" t="shared" si="17" ref="F20:F25">W20/X20*100</f>
        <v>0</v>
      </c>
      <c r="G20" s="51">
        <f aca="true" t="shared" si="18" ref="G20:G26">Y20/Z20*100</f>
        <v>0.1478963153224327</v>
      </c>
      <c r="H20" s="200">
        <f aca="true" t="shared" si="19" ref="H20:H25">AA20/V20*100</f>
        <v>1.5891467054641446</v>
      </c>
      <c r="I20" s="51">
        <f aca="true" t="shared" si="20" ref="I20:I25">AF20/V20*100</f>
        <v>3.9661172023818447</v>
      </c>
      <c r="J20" s="15"/>
      <c r="K20" s="48">
        <v>9</v>
      </c>
      <c r="L20" s="58">
        <f t="shared" si="4"/>
        <v>270</v>
      </c>
      <c r="M20" s="176">
        <v>261</v>
      </c>
      <c r="N20" s="47">
        <v>77</v>
      </c>
      <c r="O20" s="178">
        <v>9266</v>
      </c>
      <c r="P20" s="151">
        <f t="shared" si="5"/>
        <v>270792</v>
      </c>
      <c r="Q20" s="199">
        <v>261526</v>
      </c>
      <c r="R20" s="175">
        <v>3736</v>
      </c>
      <c r="S20" s="84">
        <f t="shared" si="6"/>
        <v>265262</v>
      </c>
      <c r="T20" s="180">
        <v>262978</v>
      </c>
      <c r="U20" s="175">
        <v>3706</v>
      </c>
      <c r="V20" s="84">
        <f t="shared" si="7"/>
        <v>266684</v>
      </c>
      <c r="W20" s="180"/>
      <c r="X20" s="84">
        <f t="shared" si="8"/>
        <v>266684</v>
      </c>
      <c r="Y20" s="175">
        <v>395</v>
      </c>
      <c r="Z20" s="39">
        <f t="shared" si="9"/>
        <v>267079</v>
      </c>
      <c r="AA20" s="89">
        <f t="shared" si="10"/>
        <v>4238</v>
      </c>
      <c r="AB20" s="175">
        <v>2677</v>
      </c>
      <c r="AC20" s="178">
        <v>450</v>
      </c>
      <c r="AD20" s="192">
        <v>1111</v>
      </c>
      <c r="AE20" s="193">
        <f t="shared" si="11"/>
        <v>11802</v>
      </c>
      <c r="AF20" s="180">
        <v>10577</v>
      </c>
      <c r="AG20" s="194">
        <v>1225</v>
      </c>
    </row>
    <row r="21" spans="1:33" ht="14.25">
      <c r="A21" s="2" t="s">
        <v>450</v>
      </c>
      <c r="B21" s="66">
        <f>K21/M22*100</f>
        <v>3.4220532319391634</v>
      </c>
      <c r="C21" s="50">
        <f>N21/M21*100</f>
        <v>23.708920187793428</v>
      </c>
      <c r="D21" s="50">
        <f>O21/P21*100</f>
        <v>1.7226743473982509</v>
      </c>
      <c r="E21" s="50">
        <f t="shared" si="16"/>
        <v>1.4875151494127774</v>
      </c>
      <c r="F21" s="51">
        <f t="shared" si="17"/>
        <v>0</v>
      </c>
      <c r="G21" s="51">
        <f t="shared" si="18"/>
        <v>0.06716513306279506</v>
      </c>
      <c r="H21" s="200">
        <f t="shared" si="19"/>
        <v>1.7856252398431183</v>
      </c>
      <c r="I21" s="51">
        <f t="shared" si="20"/>
        <v>2.05620079828462</v>
      </c>
      <c r="J21" s="15"/>
      <c r="K21" s="48">
        <v>9</v>
      </c>
      <c r="L21" s="58">
        <f>K21+M21</f>
        <v>435</v>
      </c>
      <c r="M21" s="176">
        <v>426</v>
      </c>
      <c r="N21" s="47">
        <v>101</v>
      </c>
      <c r="O21" s="138">
        <v>8158</v>
      </c>
      <c r="P21" s="151">
        <f t="shared" si="5"/>
        <v>473566</v>
      </c>
      <c r="Q21" s="199">
        <v>465408</v>
      </c>
      <c r="R21" s="175">
        <v>6982</v>
      </c>
      <c r="S21" s="84">
        <f t="shared" si="6"/>
        <v>472390</v>
      </c>
      <c r="T21" s="180">
        <v>454378</v>
      </c>
      <c r="U21" s="175">
        <v>6861</v>
      </c>
      <c r="V21" s="84">
        <f t="shared" si="7"/>
        <v>461239</v>
      </c>
      <c r="W21" s="180"/>
      <c r="X21" s="84">
        <f t="shared" si="8"/>
        <v>461239</v>
      </c>
      <c r="Y21" s="175">
        <v>310</v>
      </c>
      <c r="Z21" s="39">
        <f t="shared" si="9"/>
        <v>461549</v>
      </c>
      <c r="AA21" s="89">
        <f t="shared" si="10"/>
        <v>8236</v>
      </c>
      <c r="AB21" s="175">
        <v>5383</v>
      </c>
      <c r="AC21" s="178">
        <v>813</v>
      </c>
      <c r="AD21" s="192">
        <v>2040</v>
      </c>
      <c r="AE21" s="193">
        <f t="shared" si="11"/>
        <v>12133</v>
      </c>
      <c r="AF21" s="180">
        <v>9484</v>
      </c>
      <c r="AG21" s="194">
        <v>2649</v>
      </c>
    </row>
    <row r="22" spans="1:33" ht="14.25">
      <c r="A22" s="2" t="s">
        <v>15</v>
      </c>
      <c r="B22" s="66">
        <f>K22/M23*100</f>
        <v>7.142857142857142</v>
      </c>
      <c r="C22" s="50">
        <f>N22/M22*100</f>
        <v>30.038022813688215</v>
      </c>
      <c r="D22" s="50">
        <f>O22/P22*100</f>
        <v>4.970650272241207</v>
      </c>
      <c r="E22" s="50">
        <f t="shared" si="16"/>
        <v>2.9197922677437966</v>
      </c>
      <c r="F22" s="51">
        <f t="shared" si="17"/>
        <v>0</v>
      </c>
      <c r="G22" s="51">
        <f t="shared" si="18"/>
        <v>0.19088051866844383</v>
      </c>
      <c r="H22" s="200">
        <f t="shared" si="19"/>
        <v>2.0612480422059187</v>
      </c>
      <c r="I22" s="51">
        <f t="shared" si="20"/>
        <v>1.8180694089522709</v>
      </c>
      <c r="J22" s="15"/>
      <c r="K22" s="48">
        <v>14</v>
      </c>
      <c r="L22" s="58">
        <f>K22+M22</f>
        <v>277</v>
      </c>
      <c r="M22" s="176">
        <v>263</v>
      </c>
      <c r="N22" s="47">
        <v>79</v>
      </c>
      <c r="O22" s="178">
        <v>12160</v>
      </c>
      <c r="P22" s="151">
        <f t="shared" si="5"/>
        <v>244636</v>
      </c>
      <c r="Q22" s="199">
        <v>232476</v>
      </c>
      <c r="R22" s="175">
        <v>7000</v>
      </c>
      <c r="S22" s="84">
        <f t="shared" si="6"/>
        <v>239476</v>
      </c>
      <c r="T22" s="180">
        <v>235536</v>
      </c>
      <c r="U22" s="175">
        <v>7084</v>
      </c>
      <c r="V22" s="84">
        <f t="shared" si="7"/>
        <v>242620</v>
      </c>
      <c r="W22" s="180"/>
      <c r="X22" s="84">
        <f t="shared" si="8"/>
        <v>242620</v>
      </c>
      <c r="Y22" s="175">
        <v>464</v>
      </c>
      <c r="Z22" s="39">
        <f t="shared" si="9"/>
        <v>243084</v>
      </c>
      <c r="AA22" s="89">
        <f t="shared" si="10"/>
        <v>5001</v>
      </c>
      <c r="AB22" s="175">
        <v>3196</v>
      </c>
      <c r="AC22" s="178">
        <v>658</v>
      </c>
      <c r="AD22" s="192">
        <v>1147</v>
      </c>
      <c r="AE22" s="193">
        <f t="shared" si="11"/>
        <v>5529</v>
      </c>
      <c r="AF22" s="180">
        <v>4411</v>
      </c>
      <c r="AG22" s="194">
        <v>1118</v>
      </c>
    </row>
    <row r="23" spans="1:33" ht="14.25">
      <c r="A23" s="2" t="s">
        <v>16</v>
      </c>
      <c r="B23" s="66">
        <f>K23/M24*100</f>
        <v>8.080808080808081</v>
      </c>
      <c r="C23" s="50">
        <f>N23/M23*100</f>
        <v>30.612244897959183</v>
      </c>
      <c r="D23" s="50">
        <f>O23/P23*100</f>
        <v>5.328406853314624</v>
      </c>
      <c r="E23" s="50">
        <f t="shared" si="16"/>
        <v>2.364206524802283</v>
      </c>
      <c r="F23" s="51">
        <f t="shared" si="17"/>
        <v>0</v>
      </c>
      <c r="G23" s="51">
        <f t="shared" si="18"/>
        <v>0.08806297401243665</v>
      </c>
      <c r="H23" s="200">
        <f t="shared" si="19"/>
        <v>2.013442939458805</v>
      </c>
      <c r="I23" s="51">
        <f t="shared" si="20"/>
        <v>4.665455483004455</v>
      </c>
      <c r="J23" s="15"/>
      <c r="K23" s="48">
        <v>8</v>
      </c>
      <c r="L23" s="58">
        <f>K23+M23</f>
        <v>204</v>
      </c>
      <c r="M23" s="176">
        <v>196</v>
      </c>
      <c r="N23" s="47">
        <v>60</v>
      </c>
      <c r="O23" s="178">
        <v>9417</v>
      </c>
      <c r="P23" s="151">
        <f t="shared" si="5"/>
        <v>176732</v>
      </c>
      <c r="Q23" s="199">
        <v>167315</v>
      </c>
      <c r="R23" s="175">
        <v>4171</v>
      </c>
      <c r="S23" s="84">
        <f t="shared" si="6"/>
        <v>171486</v>
      </c>
      <c r="T23" s="180">
        <v>162836</v>
      </c>
      <c r="U23" s="175">
        <v>3943</v>
      </c>
      <c r="V23" s="84">
        <f t="shared" si="7"/>
        <v>166779</v>
      </c>
      <c r="W23" s="180"/>
      <c r="X23" s="84">
        <f t="shared" si="8"/>
        <v>166779</v>
      </c>
      <c r="Y23" s="175">
        <v>147</v>
      </c>
      <c r="Z23" s="39">
        <f t="shared" si="9"/>
        <v>166926</v>
      </c>
      <c r="AA23" s="89">
        <f t="shared" si="10"/>
        <v>3358</v>
      </c>
      <c r="AB23" s="175">
        <v>2143</v>
      </c>
      <c r="AC23" s="178">
        <v>289</v>
      </c>
      <c r="AD23" s="192">
        <v>926</v>
      </c>
      <c r="AE23" s="193">
        <f t="shared" si="11"/>
        <v>8707</v>
      </c>
      <c r="AF23" s="180">
        <v>7781</v>
      </c>
      <c r="AG23" s="194">
        <v>926</v>
      </c>
    </row>
    <row r="24" spans="1:33" ht="14.25">
      <c r="A24" s="2" t="s">
        <v>17</v>
      </c>
      <c r="B24" s="66">
        <f>K24/M21*100</f>
        <v>2.112676056338028</v>
      </c>
      <c r="C24" s="50">
        <f>N24/M24*100</f>
        <v>42.42424242424242</v>
      </c>
      <c r="D24" s="50">
        <f>O24/P24*100</f>
        <v>6.486882481408786</v>
      </c>
      <c r="E24" s="50">
        <f t="shared" si="16"/>
        <v>7.429639052313563</v>
      </c>
      <c r="F24" s="51">
        <f t="shared" si="17"/>
        <v>0</v>
      </c>
      <c r="G24" s="51">
        <f t="shared" si="18"/>
        <v>0.23398770573071584</v>
      </c>
      <c r="H24" s="200">
        <f t="shared" si="19"/>
        <v>2.2274341442730696</v>
      </c>
      <c r="I24" s="51">
        <f t="shared" si="20"/>
        <v>3.096676737160121</v>
      </c>
      <c r="J24" s="15"/>
      <c r="K24" s="48">
        <v>9</v>
      </c>
      <c r="L24" s="58">
        <f>K24+M24</f>
        <v>108</v>
      </c>
      <c r="M24" s="176">
        <v>99</v>
      </c>
      <c r="N24" s="47">
        <v>42</v>
      </c>
      <c r="O24" s="178">
        <v>4693</v>
      </c>
      <c r="P24" s="151">
        <f t="shared" si="5"/>
        <v>72346</v>
      </c>
      <c r="Q24" s="199">
        <v>67653</v>
      </c>
      <c r="R24" s="175">
        <v>5681</v>
      </c>
      <c r="S24" s="84">
        <f t="shared" si="6"/>
        <v>73334</v>
      </c>
      <c r="T24" s="180">
        <v>69861</v>
      </c>
      <c r="U24" s="175">
        <v>5607</v>
      </c>
      <c r="V24" s="84">
        <f t="shared" si="7"/>
        <v>75468</v>
      </c>
      <c r="W24" s="180"/>
      <c r="X24" s="84">
        <f t="shared" si="8"/>
        <v>75468</v>
      </c>
      <c r="Y24" s="175">
        <v>177</v>
      </c>
      <c r="Z24" s="39">
        <f t="shared" si="9"/>
        <v>75645</v>
      </c>
      <c r="AA24" s="89">
        <f t="shared" si="10"/>
        <v>1681</v>
      </c>
      <c r="AB24" s="175">
        <v>1090</v>
      </c>
      <c r="AC24" s="178">
        <v>210</v>
      </c>
      <c r="AD24" s="192">
        <v>381</v>
      </c>
      <c r="AE24" s="193">
        <f t="shared" si="11"/>
        <v>2750</v>
      </c>
      <c r="AF24" s="180">
        <v>2337</v>
      </c>
      <c r="AG24" s="194">
        <v>413</v>
      </c>
    </row>
    <row r="25" spans="1:33" ht="14.25">
      <c r="A25" s="4" t="s">
        <v>330</v>
      </c>
      <c r="B25" s="154" t="s">
        <v>33</v>
      </c>
      <c r="C25" s="267"/>
      <c r="D25" s="50"/>
      <c r="E25" s="50">
        <f t="shared" si="16"/>
        <v>1.4320089207113094</v>
      </c>
      <c r="F25" s="51">
        <f t="shared" si="17"/>
        <v>0</v>
      </c>
      <c r="G25" s="51">
        <f t="shared" si="18"/>
        <v>25.073655512070708</v>
      </c>
      <c r="H25" s="200">
        <f t="shared" si="19"/>
        <v>3.351135630025236</v>
      </c>
      <c r="I25" s="51">
        <f t="shared" si="20"/>
        <v>1.6608955924643465</v>
      </c>
      <c r="J25" s="15"/>
      <c r="K25" s="48"/>
      <c r="L25" s="58">
        <f>K25+M25</f>
        <v>0</v>
      </c>
      <c r="M25" s="176"/>
      <c r="N25" s="47"/>
      <c r="O25" s="178"/>
      <c r="P25" s="151">
        <f t="shared" si="5"/>
        <v>0</v>
      </c>
      <c r="Q25" s="199"/>
      <c r="R25" s="49"/>
      <c r="S25" s="84">
        <f t="shared" si="6"/>
        <v>0</v>
      </c>
      <c r="T25" s="180">
        <v>16795</v>
      </c>
      <c r="U25" s="175">
        <v>244</v>
      </c>
      <c r="V25" s="84">
        <f t="shared" si="7"/>
        <v>17039</v>
      </c>
      <c r="W25" s="180"/>
      <c r="X25" s="84">
        <f t="shared" si="8"/>
        <v>17039</v>
      </c>
      <c r="Y25" s="179">
        <v>5702</v>
      </c>
      <c r="Z25" s="143">
        <f t="shared" si="9"/>
        <v>22741</v>
      </c>
      <c r="AA25" s="87">
        <f t="shared" si="10"/>
        <v>571</v>
      </c>
      <c r="AB25" s="179">
        <v>65</v>
      </c>
      <c r="AC25" s="138">
        <v>475</v>
      </c>
      <c r="AD25" s="195">
        <v>31</v>
      </c>
      <c r="AE25" s="196">
        <f t="shared" si="11"/>
        <v>293</v>
      </c>
      <c r="AF25" s="197">
        <v>283</v>
      </c>
      <c r="AG25" s="198">
        <v>10</v>
      </c>
    </row>
    <row r="26" spans="1:33" ht="12.75">
      <c r="A26" s="6" t="s">
        <v>23</v>
      </c>
      <c r="B26" s="53">
        <f>K26/L26*100</f>
        <v>2.035002035002035</v>
      </c>
      <c r="C26" s="52">
        <f>N26/M26*100</f>
        <v>32.07312006647279</v>
      </c>
      <c r="D26" s="53">
        <f>O26/P26*100</f>
        <v>3.751391165488746</v>
      </c>
      <c r="E26" s="53">
        <f>U26/X26*100</f>
        <v>1.0133926596106095</v>
      </c>
      <c r="F26" s="53">
        <f>W26/X26*100</f>
        <v>0</v>
      </c>
      <c r="G26" s="53">
        <f t="shared" si="18"/>
        <v>0.23418555426782597</v>
      </c>
      <c r="H26" s="201">
        <f>AA26/V26*100</f>
        <v>1.9994495345417074</v>
      </c>
      <c r="I26" s="53">
        <f t="shared" si="3"/>
        <v>1.864814232906885</v>
      </c>
      <c r="J26" s="15"/>
      <c r="K26" s="92">
        <f>SUM(K7:K25)</f>
        <v>100</v>
      </c>
      <c r="L26" s="92">
        <f aca="true" t="shared" si="21" ref="L26:AA26">SUM(L7:L25)</f>
        <v>4914</v>
      </c>
      <c r="M26" s="92">
        <f>SUM(M7:M25)</f>
        <v>4814</v>
      </c>
      <c r="N26" s="92">
        <f>SUM(N7:N25)</f>
        <v>1544</v>
      </c>
      <c r="O26" s="92">
        <f>SUM(O7:O25)</f>
        <v>205884</v>
      </c>
      <c r="P26" s="152">
        <f t="shared" si="21"/>
        <v>5488204</v>
      </c>
      <c r="Q26" s="153">
        <f>SUM(Q7:Q25)</f>
        <v>5282320</v>
      </c>
      <c r="R26" s="85">
        <f t="shared" si="21"/>
        <v>55042</v>
      </c>
      <c r="S26" s="85">
        <f t="shared" si="21"/>
        <v>5337362</v>
      </c>
      <c r="T26" s="85">
        <f t="shared" si="21"/>
        <v>5279617</v>
      </c>
      <c r="U26" s="85">
        <f t="shared" si="21"/>
        <v>54051</v>
      </c>
      <c r="V26" s="85">
        <f t="shared" si="21"/>
        <v>5333668</v>
      </c>
      <c r="W26" s="85">
        <f t="shared" si="21"/>
        <v>0</v>
      </c>
      <c r="X26" s="85">
        <f t="shared" si="21"/>
        <v>5333668</v>
      </c>
      <c r="Y26" s="85">
        <f t="shared" si="21"/>
        <v>12520</v>
      </c>
      <c r="Z26" s="87">
        <f t="shared" si="21"/>
        <v>5346188</v>
      </c>
      <c r="AA26" s="87">
        <f t="shared" si="21"/>
        <v>106644</v>
      </c>
      <c r="AB26" s="87">
        <f aca="true" t="shared" si="22" ref="AB26:AG26">SUM(AB7:AB25)</f>
        <v>69766</v>
      </c>
      <c r="AC26" s="87">
        <f t="shared" si="22"/>
        <v>11853</v>
      </c>
      <c r="AD26" s="87">
        <f t="shared" si="22"/>
        <v>25025</v>
      </c>
      <c r="AE26" s="87">
        <f>SUM(AE7:AE25)</f>
        <v>127482</v>
      </c>
      <c r="AF26" s="87">
        <f t="shared" si="22"/>
        <v>99463</v>
      </c>
      <c r="AG26" s="87">
        <f t="shared" si="22"/>
        <v>28019</v>
      </c>
    </row>
    <row r="27" spans="1:27" ht="14.25">
      <c r="A27" s="19" t="s">
        <v>328</v>
      </c>
      <c r="H27" s="15"/>
      <c r="I27" s="15"/>
      <c r="M27" s="173"/>
      <c r="Q27" s="84"/>
      <c r="T27" s="20"/>
      <c r="U27" s="20"/>
      <c r="V27" s="20"/>
      <c r="W27" s="139"/>
      <c r="Y27" s="55"/>
      <c r="Z27" s="58"/>
      <c r="AA27" s="58"/>
    </row>
    <row r="28" spans="1:27" ht="12.75">
      <c r="A28" s="19" t="s">
        <v>45</v>
      </c>
      <c r="K28" s="21"/>
      <c r="L28" s="21"/>
      <c r="M28" s="21"/>
      <c r="N28" s="21"/>
      <c r="O28" s="23"/>
      <c r="P28" s="21"/>
      <c r="Q28" s="21"/>
      <c r="R28" s="21"/>
      <c r="S28" s="21"/>
      <c r="T28" s="21"/>
      <c r="U28" s="21"/>
      <c r="V28" s="181"/>
      <c r="W28" s="181"/>
      <c r="X28" s="181"/>
      <c r="Y28" s="181"/>
      <c r="Z28" s="181"/>
      <c r="AA28" s="58"/>
    </row>
    <row r="29" spans="1:28" ht="14.25">
      <c r="A29" s="19" t="s">
        <v>329</v>
      </c>
      <c r="M29" s="173"/>
      <c r="AA29" s="58"/>
      <c r="AB29" s="26"/>
    </row>
    <row r="30" spans="1:13" ht="14.25">
      <c r="A30" s="20" t="s">
        <v>327</v>
      </c>
      <c r="M30" s="173"/>
    </row>
    <row r="31" spans="1:13" ht="14.25">
      <c r="A31" s="20" t="s">
        <v>212</v>
      </c>
      <c r="M31" s="173"/>
    </row>
    <row r="32" spans="13:22" ht="14.25">
      <c r="M32" s="173"/>
      <c r="Q32" s="286" t="s">
        <v>221</v>
      </c>
      <c r="R32" s="286"/>
      <c r="S32" s="286"/>
      <c r="T32" s="287" t="s">
        <v>221</v>
      </c>
      <c r="U32" s="287"/>
      <c r="V32" s="287"/>
    </row>
    <row r="33" spans="2:33" ht="14.25">
      <c r="B33" t="s">
        <v>286</v>
      </c>
      <c r="C33" t="s">
        <v>286</v>
      </c>
      <c r="D33" t="s">
        <v>286</v>
      </c>
      <c r="E33" t="s">
        <v>218</v>
      </c>
      <c r="F33" t="s">
        <v>218</v>
      </c>
      <c r="G33" t="s">
        <v>218</v>
      </c>
      <c r="H33" t="s">
        <v>218</v>
      </c>
      <c r="I33" t="s">
        <v>218</v>
      </c>
      <c r="K33" t="s">
        <v>286</v>
      </c>
      <c r="L33" t="s">
        <v>286</v>
      </c>
      <c r="M33" s="173" t="s">
        <v>286</v>
      </c>
      <c r="N33" t="s">
        <v>286</v>
      </c>
      <c r="O33" s="26" t="s">
        <v>286</v>
      </c>
      <c r="P33" t="s">
        <v>286</v>
      </c>
      <c r="Q33" s="286" t="s">
        <v>286</v>
      </c>
      <c r="R33" s="286"/>
      <c r="S33" s="286"/>
      <c r="T33" s="287" t="s">
        <v>218</v>
      </c>
      <c r="U33" s="287"/>
      <c r="V33" s="287"/>
      <c r="W33" t="s">
        <v>218</v>
      </c>
      <c r="X33" t="s">
        <v>218</v>
      </c>
      <c r="Y33" t="s">
        <v>218</v>
      </c>
      <c r="Z33" t="s">
        <v>218</v>
      </c>
      <c r="AA33" t="s">
        <v>218</v>
      </c>
      <c r="AB33" t="s">
        <v>218</v>
      </c>
      <c r="AC33" t="s">
        <v>218</v>
      </c>
      <c r="AD33" t="s">
        <v>218</v>
      </c>
      <c r="AE33" t="s">
        <v>218</v>
      </c>
      <c r="AF33" t="s">
        <v>218</v>
      </c>
      <c r="AG33" t="s">
        <v>218</v>
      </c>
    </row>
    <row r="34" ht="14.25">
      <c r="M34" s="173"/>
    </row>
    <row r="35" spans="3:13" ht="14.25">
      <c r="C35" s="148"/>
      <c r="E35" s="148"/>
      <c r="F35" s="148"/>
      <c r="G35" s="148"/>
      <c r="H35" s="148"/>
      <c r="I35" s="148"/>
      <c r="M35" s="173"/>
    </row>
    <row r="36" spans="3:13" ht="14.25">
      <c r="C36" s="148"/>
      <c r="E36" s="148"/>
      <c r="F36" s="148"/>
      <c r="G36" s="148"/>
      <c r="H36" s="148"/>
      <c r="I36" s="148"/>
      <c r="M36" s="173"/>
    </row>
    <row r="37" spans="3:13" ht="14.25">
      <c r="C37" s="148"/>
      <c r="D37" s="148"/>
      <c r="E37" s="148"/>
      <c r="F37" s="148"/>
      <c r="G37" s="148"/>
      <c r="H37" s="148"/>
      <c r="I37" s="148"/>
      <c r="M37" s="173"/>
    </row>
    <row r="38" spans="3:13" ht="14.25">
      <c r="C38" s="148"/>
      <c r="D38" s="148"/>
      <c r="E38" s="148"/>
      <c r="F38" s="148"/>
      <c r="G38" s="148"/>
      <c r="H38" s="148"/>
      <c r="I38" s="148"/>
      <c r="M38" s="173"/>
    </row>
    <row r="39" spans="3:13" ht="14.25">
      <c r="C39" s="148"/>
      <c r="D39" s="148"/>
      <c r="E39" s="148"/>
      <c r="F39" s="148"/>
      <c r="G39" s="148"/>
      <c r="H39" s="148"/>
      <c r="I39" s="148"/>
      <c r="M39" s="173"/>
    </row>
    <row r="40" spans="3:13" ht="14.25">
      <c r="C40" s="148"/>
      <c r="D40" s="148"/>
      <c r="E40" s="148"/>
      <c r="F40" s="148"/>
      <c r="G40" s="148"/>
      <c r="H40" s="148"/>
      <c r="I40" s="148"/>
      <c r="M40" s="173"/>
    </row>
    <row r="41" spans="3:13" ht="14.25">
      <c r="C41" s="148"/>
      <c r="D41" s="148"/>
      <c r="E41" s="148"/>
      <c r="F41" s="148"/>
      <c r="G41" s="148"/>
      <c r="H41" s="148"/>
      <c r="I41" s="148"/>
      <c r="M41" s="173"/>
    </row>
    <row r="42" spans="3:13" ht="14.25">
      <c r="C42" s="148"/>
      <c r="D42" s="148"/>
      <c r="E42" s="148"/>
      <c r="F42" s="148"/>
      <c r="G42" s="148"/>
      <c r="H42" s="148"/>
      <c r="I42" s="148"/>
      <c r="M42" s="173"/>
    </row>
    <row r="43" spans="3:13" ht="14.25">
      <c r="C43" s="148"/>
      <c r="D43" s="148"/>
      <c r="E43" s="148"/>
      <c r="F43" s="148"/>
      <c r="G43" s="148"/>
      <c r="H43" s="148"/>
      <c r="I43" s="148"/>
      <c r="M43" s="173"/>
    </row>
    <row r="44" spans="3:13" ht="14.25">
      <c r="C44" s="148"/>
      <c r="D44" s="148"/>
      <c r="E44" s="148"/>
      <c r="F44" s="148"/>
      <c r="G44" s="148"/>
      <c r="H44" s="148"/>
      <c r="I44" s="148"/>
      <c r="M44" s="173"/>
    </row>
    <row r="45" spans="3:13" ht="14.25">
      <c r="C45" s="148"/>
      <c r="D45" s="148"/>
      <c r="E45" s="148"/>
      <c r="F45" s="148"/>
      <c r="G45" s="148"/>
      <c r="H45" s="148"/>
      <c r="I45" s="148"/>
      <c r="M45" s="173"/>
    </row>
    <row r="46" spans="3:13" ht="14.25">
      <c r="C46" s="148"/>
      <c r="D46" s="148"/>
      <c r="E46" s="148"/>
      <c r="F46" s="148"/>
      <c r="G46" s="148"/>
      <c r="H46" s="148"/>
      <c r="I46" s="148"/>
      <c r="M46" s="173"/>
    </row>
    <row r="47" spans="3:13" ht="14.25">
      <c r="C47" s="148"/>
      <c r="D47" s="148"/>
      <c r="E47" s="148"/>
      <c r="F47" s="148"/>
      <c r="G47" s="148"/>
      <c r="H47" s="148"/>
      <c r="I47" s="148"/>
      <c r="M47" s="173"/>
    </row>
    <row r="48" spans="3:13" ht="14.25">
      <c r="C48" s="148"/>
      <c r="D48" s="148"/>
      <c r="E48" s="148"/>
      <c r="F48" s="148"/>
      <c r="G48" s="148"/>
      <c r="H48" s="148"/>
      <c r="I48" s="148"/>
      <c r="M48" s="173"/>
    </row>
    <row r="49" spans="3:13" ht="14.25">
      <c r="C49" s="148"/>
      <c r="D49" s="148"/>
      <c r="E49" s="148"/>
      <c r="F49" s="148"/>
      <c r="G49" s="148"/>
      <c r="H49" s="148"/>
      <c r="I49" s="148"/>
      <c r="M49" s="173"/>
    </row>
    <row r="50" spans="3:13" ht="14.25">
      <c r="C50" s="148"/>
      <c r="D50" s="148"/>
      <c r="E50" s="148"/>
      <c r="F50" s="148"/>
      <c r="G50" s="148"/>
      <c r="H50" s="148"/>
      <c r="I50" s="148"/>
      <c r="M50" s="173"/>
    </row>
    <row r="51" spans="3:13" ht="14.25">
      <c r="C51" s="148"/>
      <c r="D51" s="148"/>
      <c r="E51" s="148"/>
      <c r="F51" s="148"/>
      <c r="G51" s="148"/>
      <c r="H51" s="148"/>
      <c r="I51" s="148"/>
      <c r="M51" s="173"/>
    </row>
    <row r="52" spans="3:13" ht="14.25">
      <c r="C52" s="148"/>
      <c r="D52" s="148"/>
      <c r="E52" s="148"/>
      <c r="F52" s="148"/>
      <c r="G52" s="148"/>
      <c r="H52" s="148"/>
      <c r="I52" s="148"/>
      <c r="M52" s="173"/>
    </row>
    <row r="53" spans="3:13" ht="14.25">
      <c r="C53" s="148"/>
      <c r="D53" s="148"/>
      <c r="E53" s="148"/>
      <c r="F53" s="148"/>
      <c r="G53" s="148"/>
      <c r="H53" s="148"/>
      <c r="I53" s="148"/>
      <c r="M53" s="173"/>
    </row>
    <row r="54" spans="3:13" ht="14.25">
      <c r="C54" s="148"/>
      <c r="D54" s="148"/>
      <c r="E54" s="148"/>
      <c r="F54" s="148"/>
      <c r="G54" s="148"/>
      <c r="H54" s="148"/>
      <c r="I54" s="148"/>
      <c r="M54" s="173"/>
    </row>
    <row r="55" spans="3:13" ht="14.25">
      <c r="C55" s="148"/>
      <c r="D55" s="148"/>
      <c r="E55" s="148"/>
      <c r="F55" s="148"/>
      <c r="G55" s="148"/>
      <c r="H55" s="148"/>
      <c r="I55" s="148"/>
      <c r="M55" s="173"/>
    </row>
    <row r="56" spans="4:13" ht="14.25">
      <c r="D56" s="148"/>
      <c r="M56" s="173"/>
    </row>
    <row r="57" spans="4:13" ht="14.25">
      <c r="D57" s="148"/>
      <c r="M57" s="173"/>
    </row>
    <row r="58" ht="14.25">
      <c r="M58" s="173"/>
    </row>
    <row r="59" ht="14.25">
      <c r="M59" s="173"/>
    </row>
    <row r="60" ht="14.25">
      <c r="M60" s="173"/>
    </row>
    <row r="61" ht="14.25">
      <c r="M61" s="173"/>
    </row>
    <row r="62" ht="14.25">
      <c r="M62" s="173"/>
    </row>
    <row r="63" ht="14.25">
      <c r="M63" s="173"/>
    </row>
    <row r="64" ht="14.25">
      <c r="M64" s="173"/>
    </row>
    <row r="65" ht="14.25">
      <c r="M65" s="173"/>
    </row>
    <row r="66" ht="14.25">
      <c r="M66" s="173"/>
    </row>
    <row r="67" ht="14.25">
      <c r="M67" s="173"/>
    </row>
    <row r="68" ht="14.25">
      <c r="M68" s="173"/>
    </row>
    <row r="69" ht="14.25">
      <c r="M69" s="173"/>
    </row>
    <row r="70" ht="14.25">
      <c r="M70" s="173"/>
    </row>
    <row r="71" ht="14.25">
      <c r="M71" s="173"/>
    </row>
    <row r="72" ht="14.25">
      <c r="M72" s="173"/>
    </row>
    <row r="73" ht="14.25">
      <c r="M73" s="173"/>
    </row>
    <row r="74" ht="14.25">
      <c r="M74" s="173"/>
    </row>
    <row r="75" ht="14.25">
      <c r="M75" s="173"/>
    </row>
    <row r="76" ht="14.25">
      <c r="M76" s="173"/>
    </row>
    <row r="77" ht="14.25">
      <c r="M77" s="173"/>
    </row>
    <row r="78" ht="14.25">
      <c r="M78" s="173"/>
    </row>
    <row r="79" ht="14.25">
      <c r="M79" s="173"/>
    </row>
    <row r="80" ht="14.25">
      <c r="M80" s="173"/>
    </row>
    <row r="81" ht="14.25">
      <c r="M81" s="173"/>
    </row>
    <row r="82" ht="14.25">
      <c r="M82" s="173"/>
    </row>
    <row r="83" ht="14.25">
      <c r="M83" s="173"/>
    </row>
    <row r="84" ht="14.25">
      <c r="M84" s="173"/>
    </row>
    <row r="85" ht="14.25">
      <c r="M85" s="173"/>
    </row>
    <row r="86" ht="14.25">
      <c r="M86" s="173"/>
    </row>
    <row r="87" ht="14.25">
      <c r="M87" s="173"/>
    </row>
    <row r="88" ht="14.25">
      <c r="M88" s="173"/>
    </row>
    <row r="89" ht="14.25">
      <c r="M89" s="173"/>
    </row>
    <row r="90" ht="14.25">
      <c r="M90" s="173"/>
    </row>
    <row r="91" ht="14.25">
      <c r="M91" s="173"/>
    </row>
    <row r="92" ht="14.25">
      <c r="M92" s="173"/>
    </row>
    <row r="93" ht="14.25">
      <c r="M93" s="173"/>
    </row>
    <row r="94" ht="14.25">
      <c r="M94" s="173"/>
    </row>
    <row r="95" ht="14.25">
      <c r="M95" s="173"/>
    </row>
    <row r="96" ht="14.25">
      <c r="M96" s="173"/>
    </row>
    <row r="97" ht="14.25">
      <c r="M97" s="173"/>
    </row>
    <row r="98" ht="14.25">
      <c r="M98" s="173"/>
    </row>
    <row r="99" ht="14.25">
      <c r="M99" s="173"/>
    </row>
    <row r="100" ht="14.25">
      <c r="M100" s="173"/>
    </row>
    <row r="101" ht="14.25">
      <c r="M101" s="173"/>
    </row>
    <row r="102" ht="14.25">
      <c r="M102" s="173"/>
    </row>
    <row r="103" ht="14.25">
      <c r="M103" s="173"/>
    </row>
    <row r="104" ht="14.25">
      <c r="M104" s="173"/>
    </row>
    <row r="105" ht="14.25">
      <c r="M105" s="173"/>
    </row>
    <row r="106" ht="14.25">
      <c r="M106" s="173"/>
    </row>
    <row r="107" ht="14.25">
      <c r="M107" s="174"/>
    </row>
  </sheetData>
  <sheetProtection/>
  <mergeCells count="4">
    <mergeCell ref="Q32:S32"/>
    <mergeCell ref="T32:V32"/>
    <mergeCell ref="Q33:S33"/>
    <mergeCell ref="T33:V3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F18"/>
  <sheetViews>
    <sheetView showGridLines="0" zoomScalePageLayoutView="0" workbookViewId="0" topLeftCell="A1">
      <selection activeCell="H23" sqref="H23"/>
    </sheetView>
  </sheetViews>
  <sheetFormatPr defaultColWidth="11.42187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25.5">
      <c r="B1" s="240" t="s">
        <v>432</v>
      </c>
      <c r="C1" s="240"/>
      <c r="D1" s="248"/>
      <c r="E1" s="248"/>
      <c r="F1" s="248"/>
    </row>
    <row r="2" spans="2:6" ht="12.75">
      <c r="B2" s="240" t="s">
        <v>433</v>
      </c>
      <c r="C2" s="240"/>
      <c r="D2" s="248"/>
      <c r="E2" s="248"/>
      <c r="F2" s="248"/>
    </row>
    <row r="3" spans="2:6" ht="12.75">
      <c r="B3" s="241"/>
      <c r="C3" s="241"/>
      <c r="D3" s="249"/>
      <c r="E3" s="249"/>
      <c r="F3" s="249"/>
    </row>
    <row r="4" spans="2:6" ht="51">
      <c r="B4" s="241" t="s">
        <v>434</v>
      </c>
      <c r="C4" s="241"/>
      <c r="D4" s="249"/>
      <c r="E4" s="249"/>
      <c r="F4" s="249"/>
    </row>
    <row r="5" spans="2:6" ht="12.75">
      <c r="B5" s="241"/>
      <c r="C5" s="241"/>
      <c r="D5" s="249"/>
      <c r="E5" s="249"/>
      <c r="F5" s="249"/>
    </row>
    <row r="6" spans="2:6" ht="25.5">
      <c r="B6" s="240" t="s">
        <v>435</v>
      </c>
      <c r="C6" s="240"/>
      <c r="D6" s="248"/>
      <c r="E6" s="248" t="s">
        <v>436</v>
      </c>
      <c r="F6" s="248" t="s">
        <v>437</v>
      </c>
    </row>
    <row r="7" spans="2:6" ht="13.5" thickBot="1">
      <c r="B7" s="241"/>
      <c r="C7" s="241"/>
      <c r="D7" s="249"/>
      <c r="E7" s="249"/>
      <c r="F7" s="249"/>
    </row>
    <row r="8" spans="2:6" ht="51">
      <c r="B8" s="242" t="s">
        <v>438</v>
      </c>
      <c r="C8" s="243"/>
      <c r="D8" s="250"/>
      <c r="E8" s="250">
        <v>1</v>
      </c>
      <c r="F8" s="251"/>
    </row>
    <row r="9" spans="2:6" ht="13.5" thickBot="1">
      <c r="B9" s="244"/>
      <c r="C9" s="245"/>
      <c r="D9" s="252"/>
      <c r="E9" s="253" t="s">
        <v>439</v>
      </c>
      <c r="F9" s="254" t="s">
        <v>440</v>
      </c>
    </row>
    <row r="10" spans="2:6" ht="12.75">
      <c r="B10" s="241"/>
      <c r="C10" s="241"/>
      <c r="D10" s="249"/>
      <c r="E10" s="249"/>
      <c r="F10" s="249"/>
    </row>
    <row r="11" spans="2:6" ht="12.75">
      <c r="B11" s="241"/>
      <c r="C11" s="241"/>
      <c r="D11" s="249"/>
      <c r="E11" s="249"/>
      <c r="F11" s="249"/>
    </row>
    <row r="12" spans="2:6" ht="12.75">
      <c r="B12" s="240" t="s">
        <v>441</v>
      </c>
      <c r="C12" s="240"/>
      <c r="D12" s="248"/>
      <c r="E12" s="248"/>
      <c r="F12" s="248"/>
    </row>
    <row r="13" spans="2:6" ht="13.5" thickBot="1">
      <c r="B13" s="241"/>
      <c r="C13" s="241"/>
      <c r="D13" s="249"/>
      <c r="E13" s="249"/>
      <c r="F13" s="249"/>
    </row>
    <row r="14" spans="2:6" ht="25.5">
      <c r="B14" s="242" t="s">
        <v>442</v>
      </c>
      <c r="C14" s="243"/>
      <c r="D14" s="250"/>
      <c r="E14" s="250">
        <v>1</v>
      </c>
      <c r="F14" s="251"/>
    </row>
    <row r="15" spans="2:6" ht="13.5" thickBot="1">
      <c r="B15" s="244"/>
      <c r="C15" s="245"/>
      <c r="D15" s="252"/>
      <c r="E15" s="253" t="s">
        <v>443</v>
      </c>
      <c r="F15" s="254" t="s">
        <v>440</v>
      </c>
    </row>
    <row r="16" spans="2:6" ht="13.5" thickBot="1">
      <c r="B16" s="241"/>
      <c r="C16" s="241"/>
      <c r="D16" s="249"/>
      <c r="E16" s="249"/>
      <c r="F16" s="249"/>
    </row>
    <row r="17" spans="2:6" ht="39" thickBot="1">
      <c r="B17" s="246" t="s">
        <v>444</v>
      </c>
      <c r="C17" s="247"/>
      <c r="D17" s="255"/>
      <c r="E17" s="255">
        <v>3</v>
      </c>
      <c r="F17" s="256" t="s">
        <v>440</v>
      </c>
    </row>
    <row r="18" spans="2:6" ht="12.75">
      <c r="B18" s="241"/>
      <c r="C18" s="241"/>
      <c r="D18" s="249"/>
      <c r="E18" s="249"/>
      <c r="F18" s="249"/>
    </row>
  </sheetData>
  <sheetProtection/>
  <hyperlinks>
    <hyperlink ref="E9" location="'Tabell 12'!K26" display="'Tabell 12'!K26"/>
    <hyperlink ref="E15" location="'Hjelpeark'!B1:D17" display="'Hjelpeark'!B1:D17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5"/>
  <sheetViews>
    <sheetView zoomScalePageLayoutView="0" workbookViewId="0" topLeftCell="A1">
      <pane ySplit="1530" topLeftCell="A37" activePane="bottomLeft" state="split"/>
      <selection pane="topLeft" activeCell="A2" sqref="A2"/>
      <selection pane="bottomLeft" activeCell="D77" sqref="D77"/>
    </sheetView>
  </sheetViews>
  <sheetFormatPr defaultColWidth="11.421875" defaultRowHeight="12.75"/>
  <cols>
    <col min="1" max="1" width="11.57421875" style="33" customWidth="1"/>
    <col min="2" max="3" width="8.28125" style="0" customWidth="1"/>
    <col min="4" max="4" width="15.28125" style="0" customWidth="1"/>
    <col min="5" max="6" width="11.28125" style="0" customWidth="1"/>
    <col min="7" max="10" width="10.8515625" style="0" customWidth="1"/>
    <col min="11" max="12" width="9.7109375" style="0" customWidth="1"/>
    <col min="14" max="14" width="12.140625" style="0" customWidth="1"/>
    <col min="15" max="16" width="15.28125" style="0" customWidth="1"/>
  </cols>
  <sheetData>
    <row r="1" spans="1:16" ht="12.75">
      <c r="A1" s="27" t="s">
        <v>407</v>
      </c>
      <c r="M1" s="55"/>
      <c r="N1" s="55"/>
      <c r="O1" s="55"/>
      <c r="P1" s="55"/>
    </row>
    <row r="2" spans="1:16" s="21" customFormat="1" ht="12.75">
      <c r="A2" s="33"/>
      <c r="B2"/>
      <c r="C2"/>
      <c r="D2"/>
      <c r="E2" s="274" t="s">
        <v>200</v>
      </c>
      <c r="F2" s="274"/>
      <c r="G2" s="274"/>
      <c r="H2" s="13"/>
      <c r="I2" s="13"/>
      <c r="J2" s="13" t="s">
        <v>94</v>
      </c>
      <c r="L2" s="13" t="s">
        <v>24</v>
      </c>
      <c r="M2" s="56" t="s">
        <v>24</v>
      </c>
      <c r="N2" s="56" t="s">
        <v>24</v>
      </c>
      <c r="O2" s="56" t="s">
        <v>18</v>
      </c>
      <c r="P2" s="56" t="s">
        <v>18</v>
      </c>
    </row>
    <row r="3" spans="2:16" ht="12.75">
      <c r="B3" s="13"/>
      <c r="C3" s="13" t="s">
        <v>24</v>
      </c>
      <c r="D3" s="13" t="s">
        <v>18</v>
      </c>
      <c r="E3" s="275" t="s">
        <v>199</v>
      </c>
      <c r="F3" s="275"/>
      <c r="G3" s="275"/>
      <c r="H3" s="13" t="s">
        <v>27</v>
      </c>
      <c r="I3" s="13" t="s">
        <v>256</v>
      </c>
      <c r="J3" s="13" t="s">
        <v>95</v>
      </c>
      <c r="L3" s="13" t="s">
        <v>95</v>
      </c>
      <c r="M3" s="56" t="s">
        <v>49</v>
      </c>
      <c r="N3" s="56" t="s">
        <v>49</v>
      </c>
      <c r="O3" s="56" t="s">
        <v>61</v>
      </c>
      <c r="P3" s="56" t="s">
        <v>61</v>
      </c>
    </row>
    <row r="4" spans="2:16" ht="12.75">
      <c r="B4" s="13" t="s">
        <v>24</v>
      </c>
      <c r="C4" s="13" t="s">
        <v>49</v>
      </c>
      <c r="D4" s="13" t="s">
        <v>61</v>
      </c>
      <c r="E4" s="13"/>
      <c r="F4" s="13" t="s">
        <v>50</v>
      </c>
      <c r="G4" s="13" t="s">
        <v>51</v>
      </c>
      <c r="H4" s="13" t="s">
        <v>49</v>
      </c>
      <c r="I4" s="13" t="s">
        <v>49</v>
      </c>
      <c r="J4" s="13" t="s">
        <v>49</v>
      </c>
      <c r="L4" s="13" t="s">
        <v>49</v>
      </c>
      <c r="M4" s="56" t="s">
        <v>282</v>
      </c>
      <c r="N4" s="56" t="s">
        <v>282</v>
      </c>
      <c r="O4" s="56" t="s">
        <v>77</v>
      </c>
      <c r="P4" s="56" t="s">
        <v>77</v>
      </c>
    </row>
    <row r="5" spans="1:16" ht="12.75">
      <c r="A5" s="100"/>
      <c r="B5" s="12" t="s">
        <v>48</v>
      </c>
      <c r="C5" s="12" t="s">
        <v>281</v>
      </c>
      <c r="D5" s="12" t="s">
        <v>62</v>
      </c>
      <c r="E5" s="12" t="s">
        <v>198</v>
      </c>
      <c r="F5" s="12" t="s">
        <v>52</v>
      </c>
      <c r="G5" s="12" t="s">
        <v>52</v>
      </c>
      <c r="H5" s="12" t="s">
        <v>26</v>
      </c>
      <c r="I5" s="12" t="s">
        <v>26</v>
      </c>
      <c r="J5" s="12" t="s">
        <v>26</v>
      </c>
      <c r="L5" s="12" t="s">
        <v>168</v>
      </c>
      <c r="M5" s="78" t="s">
        <v>76</v>
      </c>
      <c r="N5" s="78" t="s">
        <v>78</v>
      </c>
      <c r="O5" s="78" t="s">
        <v>76</v>
      </c>
      <c r="P5" s="78" t="s">
        <v>78</v>
      </c>
    </row>
    <row r="6" spans="1:16" ht="14.25">
      <c r="A6" s="38" t="s">
        <v>53</v>
      </c>
      <c r="B6" s="79">
        <v>3486</v>
      </c>
      <c r="C6" s="40">
        <v>3511</v>
      </c>
      <c r="D6" s="42" t="s">
        <v>118</v>
      </c>
      <c r="E6" s="36" t="s">
        <v>118</v>
      </c>
      <c r="F6" s="36" t="s">
        <v>118</v>
      </c>
      <c r="G6" s="36" t="s">
        <v>118</v>
      </c>
      <c r="H6" s="42" t="s">
        <v>118</v>
      </c>
      <c r="I6" s="77" t="s">
        <v>118</v>
      </c>
      <c r="J6" s="42" t="s">
        <v>118</v>
      </c>
      <c r="L6" s="77" t="s">
        <v>118</v>
      </c>
      <c r="M6" s="79">
        <v>2515</v>
      </c>
      <c r="N6" s="75">
        <f>C6-M6</f>
        <v>996</v>
      </c>
      <c r="O6" s="42" t="s">
        <v>118</v>
      </c>
      <c r="P6" s="77" t="s">
        <v>124</v>
      </c>
    </row>
    <row r="7" spans="1:16" ht="14.25">
      <c r="A7" s="38" t="s">
        <v>119</v>
      </c>
      <c r="B7" s="42" t="s">
        <v>54</v>
      </c>
      <c r="C7" s="40">
        <v>3561</v>
      </c>
      <c r="D7" s="42" t="s">
        <v>118</v>
      </c>
      <c r="E7" s="36" t="s">
        <v>118</v>
      </c>
      <c r="F7" s="36" t="s">
        <v>118</v>
      </c>
      <c r="G7" s="36" t="s">
        <v>118</v>
      </c>
      <c r="H7" s="42" t="s">
        <v>118</v>
      </c>
      <c r="I7" s="77" t="s">
        <v>118</v>
      </c>
      <c r="J7" s="42" t="s">
        <v>118</v>
      </c>
      <c r="L7" s="77" t="s">
        <v>118</v>
      </c>
      <c r="M7" s="42" t="s">
        <v>54</v>
      </c>
      <c r="N7" s="77" t="s">
        <v>54</v>
      </c>
      <c r="O7" s="42" t="s">
        <v>118</v>
      </c>
      <c r="P7" s="77" t="s">
        <v>124</v>
      </c>
    </row>
    <row r="8" spans="1:16" ht="14.25">
      <c r="A8" s="38" t="s">
        <v>125</v>
      </c>
      <c r="B8" s="42" t="s">
        <v>54</v>
      </c>
      <c r="C8" s="40">
        <v>3561</v>
      </c>
      <c r="D8" s="40">
        <v>4177640</v>
      </c>
      <c r="E8" s="26">
        <f aca="true" t="shared" si="0" ref="E8:E15">D8/C8</f>
        <v>1173.1648413367031</v>
      </c>
      <c r="F8" s="36" t="s">
        <v>54</v>
      </c>
      <c r="G8" s="36" t="s">
        <v>54</v>
      </c>
      <c r="H8" s="42" t="s">
        <v>54</v>
      </c>
      <c r="I8" s="77" t="s">
        <v>54</v>
      </c>
      <c r="J8" s="42" t="s">
        <v>54</v>
      </c>
      <c r="K8" s="26"/>
      <c r="L8" s="77" t="s">
        <v>54</v>
      </c>
      <c r="M8" s="42" t="s">
        <v>54</v>
      </c>
      <c r="N8" s="77" t="s">
        <v>54</v>
      </c>
      <c r="O8" s="42" t="s">
        <v>54</v>
      </c>
      <c r="P8" s="77" t="s">
        <v>54</v>
      </c>
    </row>
    <row r="9" spans="1:16" ht="12.75">
      <c r="A9" s="38">
        <v>37072</v>
      </c>
      <c r="B9" s="76">
        <v>3585</v>
      </c>
      <c r="C9" s="40">
        <v>3619</v>
      </c>
      <c r="D9" s="40">
        <v>4250699</v>
      </c>
      <c r="E9" s="26">
        <f t="shared" si="0"/>
        <v>1174.5507046145344</v>
      </c>
      <c r="F9" s="29">
        <f aca="true" t="shared" si="1" ref="F9:G14">O9/M9</f>
        <v>1224.630046583851</v>
      </c>
      <c r="G9" s="29">
        <f t="shared" si="1"/>
        <v>1050.8648130393096</v>
      </c>
      <c r="H9" s="68">
        <v>2158</v>
      </c>
      <c r="I9" s="136">
        <f aca="true" t="shared" si="2" ref="I9:I23">H9*100/C9</f>
        <v>59.6297319701575</v>
      </c>
      <c r="J9" s="68">
        <v>535435</v>
      </c>
      <c r="K9" s="26"/>
      <c r="L9" s="26">
        <f>D9+J9</f>
        <v>4786134</v>
      </c>
      <c r="M9" s="40">
        <v>2576</v>
      </c>
      <c r="N9" s="75">
        <f aca="true" t="shared" si="3" ref="N9:N15">C9-M9</f>
        <v>1043</v>
      </c>
      <c r="O9" s="40">
        <v>3154647</v>
      </c>
      <c r="P9" s="75">
        <f aca="true" t="shared" si="4" ref="P9:P17">D9-O9</f>
        <v>1096052</v>
      </c>
    </row>
    <row r="10" spans="1:16" ht="12.75">
      <c r="A10" s="38">
        <v>37164</v>
      </c>
      <c r="B10" s="40">
        <v>3635</v>
      </c>
      <c r="C10" s="40">
        <v>3670</v>
      </c>
      <c r="D10" s="40">
        <v>4335920</v>
      </c>
      <c r="E10" s="26">
        <f t="shared" si="0"/>
        <v>1181.449591280654</v>
      </c>
      <c r="F10" s="29">
        <f t="shared" si="1"/>
        <v>1227.7738095238096</v>
      </c>
      <c r="G10" s="29">
        <f t="shared" si="1"/>
        <v>1068.2898686679175</v>
      </c>
      <c r="H10" s="68">
        <v>2003</v>
      </c>
      <c r="I10" s="136">
        <f t="shared" si="2"/>
        <v>54.57765667574932</v>
      </c>
      <c r="J10" s="68">
        <v>536751</v>
      </c>
      <c r="L10" s="26">
        <f aca="true" t="shared" si="5" ref="L10:L35">D10+J10</f>
        <v>4872671</v>
      </c>
      <c r="M10" s="40">
        <v>2604</v>
      </c>
      <c r="N10" s="75">
        <f t="shared" si="3"/>
        <v>1066</v>
      </c>
      <c r="O10" s="40">
        <v>3197123</v>
      </c>
      <c r="P10" s="75">
        <f t="shared" si="4"/>
        <v>1138797</v>
      </c>
    </row>
    <row r="11" spans="1:16" ht="12.75">
      <c r="A11" s="38">
        <v>37256</v>
      </c>
      <c r="B11" s="40">
        <v>3661</v>
      </c>
      <c r="C11" s="40">
        <v>3693</v>
      </c>
      <c r="D11" s="40">
        <v>4372498</v>
      </c>
      <c r="E11" s="26">
        <f t="shared" si="0"/>
        <v>1183.9962090441375</v>
      </c>
      <c r="F11" s="29">
        <f t="shared" si="1"/>
        <v>1229.221671117894</v>
      </c>
      <c r="G11" s="29">
        <f t="shared" si="1"/>
        <v>1073.4216417910447</v>
      </c>
      <c r="H11" s="68">
        <v>1999</v>
      </c>
      <c r="I11" s="136">
        <f t="shared" si="2"/>
        <v>54.12943406444625</v>
      </c>
      <c r="J11" s="68">
        <v>532418</v>
      </c>
      <c r="L11" s="26">
        <f t="shared" si="5"/>
        <v>4904916</v>
      </c>
      <c r="M11" s="40">
        <v>2621</v>
      </c>
      <c r="N11" s="75">
        <f t="shared" si="3"/>
        <v>1072</v>
      </c>
      <c r="O11" s="40">
        <v>3221790</v>
      </c>
      <c r="P11" s="75">
        <f t="shared" si="4"/>
        <v>1150708</v>
      </c>
    </row>
    <row r="12" spans="1:16" ht="12.75">
      <c r="A12" s="38">
        <v>37346</v>
      </c>
      <c r="B12" s="40">
        <v>3692</v>
      </c>
      <c r="C12" s="40">
        <v>3721</v>
      </c>
      <c r="D12" s="40">
        <v>4414814</v>
      </c>
      <c r="E12" s="26">
        <f t="shared" si="0"/>
        <v>1186.4590163934427</v>
      </c>
      <c r="F12" s="29">
        <f t="shared" si="1"/>
        <v>1231.4414106939705</v>
      </c>
      <c r="G12" s="29">
        <f t="shared" si="1"/>
        <v>1077.0322878228783</v>
      </c>
      <c r="H12" s="68">
        <v>1932</v>
      </c>
      <c r="I12" s="136">
        <f t="shared" si="2"/>
        <v>51.92152647137866</v>
      </c>
      <c r="J12" s="68">
        <v>503994</v>
      </c>
      <c r="L12" s="26">
        <f t="shared" si="5"/>
        <v>4918808</v>
      </c>
      <c r="M12" s="40">
        <v>2637</v>
      </c>
      <c r="N12" s="75">
        <f t="shared" si="3"/>
        <v>1084</v>
      </c>
      <c r="O12" s="40">
        <v>3247311</v>
      </c>
      <c r="P12" s="75">
        <f t="shared" si="4"/>
        <v>1167503</v>
      </c>
    </row>
    <row r="13" spans="1:16" ht="12.75">
      <c r="A13" s="69">
        <v>37437</v>
      </c>
      <c r="B13" s="68">
        <v>3695</v>
      </c>
      <c r="C13" s="68">
        <v>3719</v>
      </c>
      <c r="D13" s="68">
        <v>4424202</v>
      </c>
      <c r="E13" s="29">
        <f t="shared" si="0"/>
        <v>1189.621403603119</v>
      </c>
      <c r="F13" s="29">
        <f t="shared" si="1"/>
        <v>1232.2405159332322</v>
      </c>
      <c r="G13" s="29">
        <f t="shared" si="1"/>
        <v>1085.887349953832</v>
      </c>
      <c r="H13" s="68">
        <v>1913</v>
      </c>
      <c r="I13" s="136">
        <f t="shared" si="2"/>
        <v>51.43855875235278</v>
      </c>
      <c r="J13" s="68">
        <v>494022</v>
      </c>
      <c r="L13" s="26">
        <f t="shared" si="5"/>
        <v>4918224</v>
      </c>
      <c r="M13" s="44">
        <v>2636</v>
      </c>
      <c r="N13" s="75">
        <f t="shared" si="3"/>
        <v>1083</v>
      </c>
      <c r="O13" s="44">
        <v>3248186</v>
      </c>
      <c r="P13" s="75">
        <f t="shared" si="4"/>
        <v>1176016</v>
      </c>
    </row>
    <row r="14" spans="1:16" ht="12.75">
      <c r="A14" s="95">
        <v>37529</v>
      </c>
      <c r="B14" s="68">
        <v>3704</v>
      </c>
      <c r="C14" s="68">
        <v>3730</v>
      </c>
      <c r="D14" s="68">
        <v>4439182</v>
      </c>
      <c r="E14" s="29">
        <f t="shared" si="0"/>
        <v>1190.1292225201073</v>
      </c>
      <c r="F14" s="29">
        <f t="shared" si="1"/>
        <v>1232.4927866362946</v>
      </c>
      <c r="G14" s="29">
        <f t="shared" si="1"/>
        <v>1088.3175182481752</v>
      </c>
      <c r="H14" s="68">
        <v>2229</v>
      </c>
      <c r="I14" s="136">
        <f t="shared" si="2"/>
        <v>59.75871313672922</v>
      </c>
      <c r="J14" s="68">
        <v>492597</v>
      </c>
      <c r="L14" s="26">
        <f t="shared" si="5"/>
        <v>4931779</v>
      </c>
      <c r="M14" s="44">
        <v>2634</v>
      </c>
      <c r="N14" s="75">
        <f t="shared" si="3"/>
        <v>1096</v>
      </c>
      <c r="O14" s="44">
        <v>3246386</v>
      </c>
      <c r="P14" s="75">
        <f t="shared" si="4"/>
        <v>1192796</v>
      </c>
    </row>
    <row r="15" spans="1:16" s="16" customFormat="1" ht="12.75">
      <c r="A15" s="95">
        <v>37621</v>
      </c>
      <c r="B15" s="68">
        <v>3703</v>
      </c>
      <c r="C15" s="68">
        <v>3728</v>
      </c>
      <c r="D15" s="68">
        <v>4451531</v>
      </c>
      <c r="E15" s="29">
        <f t="shared" si="0"/>
        <v>1194.080203862661</v>
      </c>
      <c r="F15" s="29">
        <f aca="true" t="shared" si="6" ref="F15:G17">O15/M15</f>
        <v>1236.262438283327</v>
      </c>
      <c r="G15" s="29">
        <f t="shared" si="6"/>
        <v>1092.6502283105024</v>
      </c>
      <c r="H15" s="68">
        <v>2087</v>
      </c>
      <c r="I15" s="136">
        <f t="shared" si="2"/>
        <v>55.98175965665236</v>
      </c>
      <c r="J15" s="68">
        <v>464085</v>
      </c>
      <c r="L15" s="26">
        <f t="shared" si="5"/>
        <v>4915616</v>
      </c>
      <c r="M15" s="44">
        <v>2633</v>
      </c>
      <c r="N15" s="75">
        <f t="shared" si="3"/>
        <v>1095</v>
      </c>
      <c r="O15" s="44">
        <v>3255079</v>
      </c>
      <c r="P15" s="75">
        <f t="shared" si="4"/>
        <v>1196452</v>
      </c>
    </row>
    <row r="16" spans="1:16" ht="12.75">
      <c r="A16" s="95">
        <v>37711</v>
      </c>
      <c r="B16" s="68">
        <v>3708</v>
      </c>
      <c r="C16" s="68">
        <v>3732</v>
      </c>
      <c r="D16" s="68">
        <v>4464780</v>
      </c>
      <c r="E16" s="29">
        <f aca="true" t="shared" si="7" ref="E16:E21">D16/C16</f>
        <v>1196.3504823151125</v>
      </c>
      <c r="F16" s="29">
        <f t="shared" si="6"/>
        <v>1237.430413348502</v>
      </c>
      <c r="G16" s="29">
        <f t="shared" si="6"/>
        <v>1097.42100456621</v>
      </c>
      <c r="H16" s="68">
        <v>2031</v>
      </c>
      <c r="I16" s="136">
        <f t="shared" si="2"/>
        <v>54.42122186495177</v>
      </c>
      <c r="J16" s="68">
        <v>450643</v>
      </c>
      <c r="K16" s="16"/>
      <c r="L16" s="26">
        <f t="shared" si="5"/>
        <v>4915423</v>
      </c>
      <c r="M16" s="44">
        <v>2637</v>
      </c>
      <c r="N16" s="75">
        <f aca="true" t="shared" si="8" ref="N16:N21">C16-M16</f>
        <v>1095</v>
      </c>
      <c r="O16" s="44">
        <v>3263104</v>
      </c>
      <c r="P16" s="75">
        <f t="shared" si="4"/>
        <v>1201676</v>
      </c>
    </row>
    <row r="17" spans="1:16" ht="12.75">
      <c r="A17" s="95">
        <v>37802</v>
      </c>
      <c r="B17" s="68">
        <v>3701</v>
      </c>
      <c r="C17" s="68">
        <v>3726</v>
      </c>
      <c r="D17" s="68">
        <v>4463992</v>
      </c>
      <c r="E17" s="29">
        <f t="shared" si="7"/>
        <v>1198.0654857756308</v>
      </c>
      <c r="F17" s="29">
        <f t="shared" si="6"/>
        <v>1236.9332574895716</v>
      </c>
      <c r="G17" s="29">
        <f t="shared" si="6"/>
        <v>1103.9476584022038</v>
      </c>
      <c r="H17" s="68">
        <v>1983</v>
      </c>
      <c r="I17" s="136">
        <f t="shared" si="2"/>
        <v>53.22061191626409</v>
      </c>
      <c r="J17" s="68">
        <v>447002</v>
      </c>
      <c r="K17" s="16"/>
      <c r="L17" s="26">
        <f t="shared" si="5"/>
        <v>4910994</v>
      </c>
      <c r="M17" s="44">
        <v>2637</v>
      </c>
      <c r="N17" s="75">
        <f t="shared" si="8"/>
        <v>1089</v>
      </c>
      <c r="O17" s="44">
        <v>3261793</v>
      </c>
      <c r="P17" s="75">
        <f t="shared" si="4"/>
        <v>1202199</v>
      </c>
    </row>
    <row r="18" spans="1:16" ht="12.75">
      <c r="A18" s="95">
        <v>37894</v>
      </c>
      <c r="B18" s="68">
        <v>3711</v>
      </c>
      <c r="C18" s="68">
        <v>3734</v>
      </c>
      <c r="D18" s="68">
        <v>4474195</v>
      </c>
      <c r="E18" s="29">
        <f t="shared" si="7"/>
        <v>1198.2311194429567</v>
      </c>
      <c r="F18" s="29">
        <f aca="true" t="shared" si="9" ref="F18:G20">O18/M18</f>
        <v>1237.6437784522002</v>
      </c>
      <c r="G18" s="29">
        <f t="shared" si="9"/>
        <v>1103.6120218579235</v>
      </c>
      <c r="H18" s="68">
        <v>2005</v>
      </c>
      <c r="I18" s="136">
        <f t="shared" si="2"/>
        <v>53.69576861274772</v>
      </c>
      <c r="J18" s="68">
        <v>431824</v>
      </c>
      <c r="K18" s="16"/>
      <c r="L18" s="26">
        <f t="shared" si="5"/>
        <v>4906019</v>
      </c>
      <c r="M18" s="44">
        <v>2636</v>
      </c>
      <c r="N18" s="75">
        <f t="shared" si="8"/>
        <v>1098</v>
      </c>
      <c r="O18" s="44">
        <v>3262429</v>
      </c>
      <c r="P18" s="75">
        <f aca="true" t="shared" si="10" ref="P18:P23">D18-O18</f>
        <v>1211766</v>
      </c>
    </row>
    <row r="19" spans="1:16" ht="12.75">
      <c r="A19" s="95">
        <v>37986</v>
      </c>
      <c r="B19" s="68">
        <v>3713</v>
      </c>
      <c r="C19" s="68">
        <v>3737</v>
      </c>
      <c r="D19" s="68">
        <v>4496102</v>
      </c>
      <c r="E19" s="29">
        <f t="shared" si="7"/>
        <v>1203.131388814557</v>
      </c>
      <c r="F19" s="29">
        <f t="shared" si="9"/>
        <v>1240.3175624526873</v>
      </c>
      <c r="G19" s="29">
        <f t="shared" si="9"/>
        <v>1113.4091324200913</v>
      </c>
      <c r="H19" s="68">
        <v>1930</v>
      </c>
      <c r="I19" s="136">
        <f t="shared" si="2"/>
        <v>51.64570511105165</v>
      </c>
      <c r="J19" s="68">
        <v>414046</v>
      </c>
      <c r="K19" s="16"/>
      <c r="L19" s="26">
        <f t="shared" si="5"/>
        <v>4910148</v>
      </c>
      <c r="M19" s="44">
        <v>2642</v>
      </c>
      <c r="N19" s="75">
        <f t="shared" si="8"/>
        <v>1095</v>
      </c>
      <c r="O19" s="44">
        <v>3276919</v>
      </c>
      <c r="P19" s="75">
        <f t="shared" si="10"/>
        <v>1219183</v>
      </c>
    </row>
    <row r="20" spans="1:16" ht="12.75">
      <c r="A20" s="95">
        <v>38077</v>
      </c>
      <c r="B20" s="68">
        <v>3727</v>
      </c>
      <c r="C20" s="68">
        <v>3747</v>
      </c>
      <c r="D20" s="68">
        <v>4507688</v>
      </c>
      <c r="E20" s="29">
        <f t="shared" si="7"/>
        <v>1203.0125433680278</v>
      </c>
      <c r="F20" s="29">
        <f t="shared" si="9"/>
        <v>1242.0461422087747</v>
      </c>
      <c r="G20" s="29">
        <f t="shared" si="9"/>
        <v>1109.4451495920218</v>
      </c>
      <c r="H20" s="68">
        <v>1957</v>
      </c>
      <c r="I20" s="136">
        <f t="shared" si="2"/>
        <v>52.22844942620763</v>
      </c>
      <c r="J20" s="68">
        <v>411879</v>
      </c>
      <c r="K20" s="16"/>
      <c r="L20" s="26">
        <f t="shared" si="5"/>
        <v>4919567</v>
      </c>
      <c r="M20" s="44">
        <v>2644</v>
      </c>
      <c r="N20" s="75">
        <f t="shared" si="8"/>
        <v>1103</v>
      </c>
      <c r="O20" s="44">
        <v>3283970</v>
      </c>
      <c r="P20" s="75">
        <f t="shared" si="10"/>
        <v>1223718</v>
      </c>
    </row>
    <row r="21" spans="1:16" ht="12.75">
      <c r="A21" s="95">
        <v>38168</v>
      </c>
      <c r="B21" s="68">
        <v>3739</v>
      </c>
      <c r="C21" s="68">
        <v>3759</v>
      </c>
      <c r="D21" s="68">
        <v>4511322</v>
      </c>
      <c r="E21" s="29">
        <f t="shared" si="7"/>
        <v>1200.1388667198723</v>
      </c>
      <c r="F21" s="29">
        <f aca="true" t="shared" si="11" ref="F21:G23">O21/M21</f>
        <v>1240.960695389267</v>
      </c>
      <c r="G21" s="29">
        <f t="shared" si="11"/>
        <v>1103.090745732255</v>
      </c>
      <c r="H21" s="68">
        <v>1901</v>
      </c>
      <c r="I21" s="136">
        <f t="shared" si="2"/>
        <v>50.57196062782655</v>
      </c>
      <c r="J21" s="68">
        <v>420548</v>
      </c>
      <c r="K21" s="16"/>
      <c r="L21" s="26">
        <f t="shared" si="5"/>
        <v>4931870</v>
      </c>
      <c r="M21" s="44">
        <v>2646</v>
      </c>
      <c r="N21" s="75">
        <f t="shared" si="8"/>
        <v>1113</v>
      </c>
      <c r="O21" s="44">
        <v>3283582</v>
      </c>
      <c r="P21" s="75">
        <f t="shared" si="10"/>
        <v>1227740</v>
      </c>
    </row>
    <row r="22" spans="1:16" ht="12.75">
      <c r="A22" s="95">
        <v>38260</v>
      </c>
      <c r="B22" s="68">
        <v>3747</v>
      </c>
      <c r="C22" s="68">
        <v>3767</v>
      </c>
      <c r="D22" s="68">
        <v>4516179</v>
      </c>
      <c r="E22" s="29">
        <f aca="true" t="shared" si="12" ref="E22:E27">D22/C22</f>
        <v>1198.8794796920627</v>
      </c>
      <c r="F22" s="29">
        <f t="shared" si="11"/>
        <v>1239.999243570348</v>
      </c>
      <c r="G22" s="29">
        <f t="shared" si="11"/>
        <v>1102.06678539626</v>
      </c>
      <c r="H22" s="68">
        <v>2039</v>
      </c>
      <c r="I22" s="136">
        <f t="shared" si="2"/>
        <v>54.12795327847093</v>
      </c>
      <c r="J22" s="68">
        <v>423863</v>
      </c>
      <c r="K22" s="16"/>
      <c r="L22" s="26">
        <f t="shared" si="5"/>
        <v>4940042</v>
      </c>
      <c r="M22" s="44">
        <v>2644</v>
      </c>
      <c r="N22" s="75">
        <f aca="true" t="shared" si="13" ref="N22:N27">C22-M22</f>
        <v>1123</v>
      </c>
      <c r="O22" s="44">
        <v>3278558</v>
      </c>
      <c r="P22" s="75">
        <f t="shared" si="10"/>
        <v>1237621</v>
      </c>
    </row>
    <row r="23" spans="1:16" ht="12.75">
      <c r="A23" s="95">
        <v>38352</v>
      </c>
      <c r="B23" s="68">
        <v>3755</v>
      </c>
      <c r="C23" s="68">
        <v>3778</v>
      </c>
      <c r="D23" s="68">
        <v>4528778</v>
      </c>
      <c r="E23" s="29">
        <f t="shared" si="12"/>
        <v>1198.7236633139228</v>
      </c>
      <c r="F23" s="29">
        <f t="shared" si="11"/>
        <v>1237.526395173454</v>
      </c>
      <c r="G23" s="29">
        <f t="shared" si="11"/>
        <v>1107.3339253996448</v>
      </c>
      <c r="H23" s="68">
        <v>2050</v>
      </c>
      <c r="I23" s="136">
        <f t="shared" si="2"/>
        <v>54.261514028586554</v>
      </c>
      <c r="J23" s="68">
        <v>423500</v>
      </c>
      <c r="K23" s="16"/>
      <c r="L23" s="26">
        <f t="shared" si="5"/>
        <v>4952278</v>
      </c>
      <c r="M23" s="44">
        <v>2652</v>
      </c>
      <c r="N23" s="75">
        <f t="shared" si="13"/>
        <v>1126</v>
      </c>
      <c r="O23" s="44">
        <v>3281920</v>
      </c>
      <c r="P23" s="75">
        <f t="shared" si="10"/>
        <v>1246858</v>
      </c>
    </row>
    <row r="24" spans="1:16" ht="12.75">
      <c r="A24" s="95">
        <v>38442</v>
      </c>
      <c r="B24" s="68">
        <v>3762</v>
      </c>
      <c r="C24" s="68">
        <v>3785</v>
      </c>
      <c r="D24" s="68">
        <v>4540405</v>
      </c>
      <c r="E24" s="29">
        <f t="shared" si="12"/>
        <v>1199.5785997357991</v>
      </c>
      <c r="F24" s="29">
        <f aca="true" t="shared" si="14" ref="F24:G26">O24/M24</f>
        <v>1239.0049056603773</v>
      </c>
      <c r="G24" s="29">
        <f t="shared" si="14"/>
        <v>1107.5259911894273</v>
      </c>
      <c r="H24" s="68">
        <v>2097</v>
      </c>
      <c r="I24" s="136">
        <f aca="true" t="shared" si="15" ref="I24:I29">H24*100/C24</f>
        <v>55.402906208718626</v>
      </c>
      <c r="J24" s="68">
        <v>426501</v>
      </c>
      <c r="K24" s="16"/>
      <c r="L24" s="26">
        <f t="shared" si="5"/>
        <v>4966906</v>
      </c>
      <c r="M24" s="44">
        <v>2650</v>
      </c>
      <c r="N24" s="75">
        <f t="shared" si="13"/>
        <v>1135</v>
      </c>
      <c r="O24" s="44">
        <v>3283363</v>
      </c>
      <c r="P24" s="75">
        <f aca="true" t="shared" si="16" ref="P24:P29">D24-O24</f>
        <v>1257042</v>
      </c>
    </row>
    <row r="25" spans="1:16" ht="12.75">
      <c r="A25" s="95">
        <v>38533</v>
      </c>
      <c r="B25" s="68">
        <v>3767</v>
      </c>
      <c r="C25" s="68">
        <v>3793</v>
      </c>
      <c r="D25" s="68">
        <v>4547637</v>
      </c>
      <c r="E25" s="29">
        <f t="shared" si="12"/>
        <v>1198.9551805958345</v>
      </c>
      <c r="F25" s="29">
        <f t="shared" si="14"/>
        <v>1236.682109227872</v>
      </c>
      <c r="G25" s="29">
        <f t="shared" si="14"/>
        <v>1110.9367311072056</v>
      </c>
      <c r="H25" s="68">
        <v>1966</v>
      </c>
      <c r="I25" s="136">
        <f t="shared" si="15"/>
        <v>51.83232269970999</v>
      </c>
      <c r="J25" s="68">
        <v>420017</v>
      </c>
      <c r="K25" s="16"/>
      <c r="L25" s="26">
        <f t="shared" si="5"/>
        <v>4967654</v>
      </c>
      <c r="M25" s="44">
        <v>2655</v>
      </c>
      <c r="N25" s="75">
        <f t="shared" si="13"/>
        <v>1138</v>
      </c>
      <c r="O25" s="44">
        <v>3283391</v>
      </c>
      <c r="P25" s="75">
        <f t="shared" si="16"/>
        <v>1264246</v>
      </c>
    </row>
    <row r="26" spans="1:16" ht="12.75">
      <c r="A26" s="95">
        <v>38625</v>
      </c>
      <c r="B26" s="68">
        <v>3765</v>
      </c>
      <c r="C26" s="68">
        <v>3789</v>
      </c>
      <c r="D26" s="68">
        <v>4548537</v>
      </c>
      <c r="E26" s="29">
        <f t="shared" si="12"/>
        <v>1200.458432304038</v>
      </c>
      <c r="F26" s="29">
        <f t="shared" si="14"/>
        <v>1239.372586141613</v>
      </c>
      <c r="G26" s="29">
        <f t="shared" si="14"/>
        <v>1110.9355400696863</v>
      </c>
      <c r="H26" s="68">
        <v>2036</v>
      </c>
      <c r="I26" s="136">
        <f t="shared" si="15"/>
        <v>53.734494589601475</v>
      </c>
      <c r="J26" s="68">
        <v>419054</v>
      </c>
      <c r="K26" s="16"/>
      <c r="L26" s="26">
        <f t="shared" si="5"/>
        <v>4967591</v>
      </c>
      <c r="M26" s="44">
        <v>2641</v>
      </c>
      <c r="N26" s="75">
        <f t="shared" si="13"/>
        <v>1148</v>
      </c>
      <c r="O26" s="44">
        <v>3273183</v>
      </c>
      <c r="P26" s="75">
        <f t="shared" si="16"/>
        <v>1275354</v>
      </c>
    </row>
    <row r="27" spans="1:16" ht="12.75">
      <c r="A27" s="95">
        <v>38717</v>
      </c>
      <c r="B27" s="68">
        <v>3757</v>
      </c>
      <c r="C27" s="68">
        <v>3782</v>
      </c>
      <c r="D27" s="68">
        <v>4552407</v>
      </c>
      <c r="E27" s="29">
        <f t="shared" si="12"/>
        <v>1203.7035959809625</v>
      </c>
      <c r="F27" s="29">
        <f aca="true" t="shared" si="17" ref="F27:G29">O27/M27</f>
        <v>1242.5767477203647</v>
      </c>
      <c r="G27" s="29">
        <f t="shared" si="17"/>
        <v>1114.7347826086957</v>
      </c>
      <c r="H27" s="68">
        <v>1929</v>
      </c>
      <c r="I27" s="136">
        <f t="shared" si="15"/>
        <v>51.004759386567954</v>
      </c>
      <c r="J27" s="68">
        <v>404193</v>
      </c>
      <c r="K27" s="16"/>
      <c r="L27" s="26">
        <f t="shared" si="5"/>
        <v>4956600</v>
      </c>
      <c r="M27" s="44">
        <v>2632</v>
      </c>
      <c r="N27" s="75">
        <f t="shared" si="13"/>
        <v>1150</v>
      </c>
      <c r="O27" s="44">
        <v>3270462</v>
      </c>
      <c r="P27" s="75">
        <f t="shared" si="16"/>
        <v>1281945</v>
      </c>
    </row>
    <row r="28" spans="1:16" ht="12.75">
      <c r="A28" s="95">
        <v>38807</v>
      </c>
      <c r="B28" s="68">
        <v>3787</v>
      </c>
      <c r="C28" s="68">
        <v>3815</v>
      </c>
      <c r="D28" s="68">
        <v>4575086</v>
      </c>
      <c r="E28" s="29">
        <f aca="true" t="shared" si="18" ref="E28:E33">D28/C28</f>
        <v>1199.2361730013106</v>
      </c>
      <c r="F28" s="29">
        <f t="shared" si="17"/>
        <v>1239.3891419893698</v>
      </c>
      <c r="G28" s="29">
        <f t="shared" si="17"/>
        <v>1109.6824724809483</v>
      </c>
      <c r="H28" s="68">
        <v>1940</v>
      </c>
      <c r="I28" s="136">
        <f t="shared" si="15"/>
        <v>50.8519003931848</v>
      </c>
      <c r="J28" s="68">
        <v>410250</v>
      </c>
      <c r="K28" s="16"/>
      <c r="L28" s="26">
        <f t="shared" si="5"/>
        <v>4985336</v>
      </c>
      <c r="M28" s="44">
        <v>2634</v>
      </c>
      <c r="N28" s="75">
        <f aca="true" t="shared" si="19" ref="N28:N33">C28-M28</f>
        <v>1181</v>
      </c>
      <c r="O28" s="44">
        <v>3264551</v>
      </c>
      <c r="P28" s="75">
        <f t="shared" si="16"/>
        <v>1310535</v>
      </c>
    </row>
    <row r="29" spans="1:16" ht="12.75">
      <c r="A29" s="95">
        <v>38898</v>
      </c>
      <c r="B29" s="68">
        <v>3807</v>
      </c>
      <c r="C29" s="68">
        <v>3829</v>
      </c>
      <c r="D29" s="68">
        <v>4587896</v>
      </c>
      <c r="E29" s="29">
        <f t="shared" si="18"/>
        <v>1198.1969182554192</v>
      </c>
      <c r="F29" s="29">
        <f t="shared" si="17"/>
        <v>1238.6245733788396</v>
      </c>
      <c r="G29" s="29">
        <f t="shared" si="17"/>
        <v>1108.7609060402685</v>
      </c>
      <c r="H29" s="68">
        <v>1911</v>
      </c>
      <c r="I29" s="136">
        <f t="shared" si="15"/>
        <v>49.90859232175503</v>
      </c>
      <c r="J29" s="68">
        <v>407217</v>
      </c>
      <c r="K29" s="16"/>
      <c r="L29" s="26">
        <f t="shared" si="5"/>
        <v>4995113</v>
      </c>
      <c r="M29" s="44">
        <v>2637</v>
      </c>
      <c r="N29" s="75">
        <f t="shared" si="19"/>
        <v>1192</v>
      </c>
      <c r="O29" s="44">
        <v>3266253</v>
      </c>
      <c r="P29" s="75">
        <f t="shared" si="16"/>
        <v>1321643</v>
      </c>
    </row>
    <row r="30" spans="1:16" ht="12.75">
      <c r="A30" s="95">
        <v>38990</v>
      </c>
      <c r="B30" s="68">
        <v>3828</v>
      </c>
      <c r="C30" s="68">
        <v>3846</v>
      </c>
      <c r="D30" s="68">
        <v>4601457</v>
      </c>
      <c r="E30" s="29">
        <f t="shared" si="18"/>
        <v>1196.4266770670827</v>
      </c>
      <c r="F30" s="29">
        <f aca="true" t="shared" si="20" ref="F30:G32">O30/M30</f>
        <v>1235.8695652173913</v>
      </c>
      <c r="G30" s="29">
        <f t="shared" si="20"/>
        <v>1109.5603663613656</v>
      </c>
      <c r="H30" s="68">
        <v>1874</v>
      </c>
      <c r="I30" s="136">
        <f aca="true" t="shared" si="21" ref="I30:I35">H30*100/C30</f>
        <v>48.72594903796152</v>
      </c>
      <c r="J30" s="68">
        <v>409216</v>
      </c>
      <c r="K30" s="16"/>
      <c r="L30" s="26">
        <f t="shared" si="5"/>
        <v>5010673</v>
      </c>
      <c r="M30" s="44">
        <v>2645</v>
      </c>
      <c r="N30" s="75">
        <f t="shared" si="19"/>
        <v>1201</v>
      </c>
      <c r="O30" s="44">
        <v>3268875</v>
      </c>
      <c r="P30" s="75">
        <f aca="true" t="shared" si="22" ref="P30:P35">D30-O30</f>
        <v>1332582</v>
      </c>
    </row>
    <row r="31" spans="1:16" ht="12.75">
      <c r="A31" s="95">
        <v>39082</v>
      </c>
      <c r="B31" s="68">
        <v>3841</v>
      </c>
      <c r="C31" s="68">
        <v>3860</v>
      </c>
      <c r="D31" s="68">
        <v>4616449</v>
      </c>
      <c r="E31" s="29">
        <f t="shared" si="18"/>
        <v>1195.9712435233162</v>
      </c>
      <c r="F31" s="29">
        <f t="shared" si="20"/>
        <v>1235.5955522050508</v>
      </c>
      <c r="G31" s="29">
        <f t="shared" si="20"/>
        <v>1108.8765534382767</v>
      </c>
      <c r="H31" s="68">
        <v>1895</v>
      </c>
      <c r="I31" s="136">
        <f t="shared" si="21"/>
        <v>49.09326424870466</v>
      </c>
      <c r="J31" s="68">
        <v>403840</v>
      </c>
      <c r="K31" s="16"/>
      <c r="L31" s="26">
        <f t="shared" si="5"/>
        <v>5020289</v>
      </c>
      <c r="M31" s="44">
        <v>2653</v>
      </c>
      <c r="N31" s="75">
        <f t="shared" si="19"/>
        <v>1207</v>
      </c>
      <c r="O31" s="44">
        <v>3278035</v>
      </c>
      <c r="P31" s="75">
        <f t="shared" si="22"/>
        <v>1338414</v>
      </c>
    </row>
    <row r="32" spans="1:16" ht="12.75">
      <c r="A32" s="95">
        <v>39172</v>
      </c>
      <c r="B32" s="68">
        <v>3851</v>
      </c>
      <c r="C32" s="68">
        <v>3867</v>
      </c>
      <c r="D32" s="68">
        <v>4623196</v>
      </c>
      <c r="E32" s="29">
        <f t="shared" si="18"/>
        <v>1195.5510731833463</v>
      </c>
      <c r="F32" s="29">
        <f t="shared" si="20"/>
        <v>1235.3579781214637</v>
      </c>
      <c r="G32" s="29">
        <f t="shared" si="20"/>
        <v>1108.7680921052631</v>
      </c>
      <c r="H32" s="68">
        <v>1895</v>
      </c>
      <c r="I32" s="136">
        <f t="shared" si="21"/>
        <v>49.00439617274373</v>
      </c>
      <c r="J32" s="68">
        <v>398854</v>
      </c>
      <c r="K32" s="16"/>
      <c r="L32" s="26">
        <f t="shared" si="5"/>
        <v>5022050</v>
      </c>
      <c r="M32" s="44">
        <v>2651</v>
      </c>
      <c r="N32" s="75">
        <f t="shared" si="19"/>
        <v>1216</v>
      </c>
      <c r="O32" s="44">
        <v>3274934</v>
      </c>
      <c r="P32" s="75">
        <f t="shared" si="22"/>
        <v>1348262</v>
      </c>
    </row>
    <row r="33" spans="1:16" ht="12.75">
      <c r="A33" s="95">
        <v>39263</v>
      </c>
      <c r="B33" s="68">
        <v>3862</v>
      </c>
      <c r="C33" s="68">
        <v>3880</v>
      </c>
      <c r="D33" s="68">
        <v>4640625</v>
      </c>
      <c r="E33" s="29">
        <f t="shared" si="18"/>
        <v>1196.0373711340205</v>
      </c>
      <c r="F33" s="29">
        <f aca="true" t="shared" si="23" ref="F33:G35">O33/M33</f>
        <v>1236.158550396376</v>
      </c>
      <c r="G33" s="29">
        <f t="shared" si="23"/>
        <v>1109.7002437043054</v>
      </c>
      <c r="H33" s="68">
        <v>1803</v>
      </c>
      <c r="I33" s="136">
        <f t="shared" si="21"/>
        <v>46.46907216494845</v>
      </c>
      <c r="J33" s="68">
        <v>390104</v>
      </c>
      <c r="K33" s="16"/>
      <c r="L33" s="26">
        <f t="shared" si="5"/>
        <v>5030729</v>
      </c>
      <c r="M33" s="44">
        <v>2649</v>
      </c>
      <c r="N33" s="75">
        <f t="shared" si="19"/>
        <v>1231</v>
      </c>
      <c r="O33" s="44">
        <v>3274584</v>
      </c>
      <c r="P33" s="75">
        <f t="shared" si="22"/>
        <v>1366041</v>
      </c>
    </row>
    <row r="34" spans="1:16" ht="12.75">
      <c r="A34" s="95">
        <v>39355</v>
      </c>
      <c r="B34" s="68">
        <v>3868</v>
      </c>
      <c r="C34" s="68">
        <v>3889</v>
      </c>
      <c r="D34" s="68">
        <v>4647896</v>
      </c>
      <c r="E34" s="29">
        <f aca="true" t="shared" si="24" ref="E34:E48">D34/C34</f>
        <v>1195.139110311134</v>
      </c>
      <c r="F34" s="29">
        <f t="shared" si="23"/>
        <v>1234.9664404223229</v>
      </c>
      <c r="G34" s="29">
        <f t="shared" si="23"/>
        <v>1109.7534357316088</v>
      </c>
      <c r="H34" s="68">
        <v>1853</v>
      </c>
      <c r="I34" s="136">
        <f t="shared" si="21"/>
        <v>47.64721007971201</v>
      </c>
      <c r="J34" s="68">
        <v>381512</v>
      </c>
      <c r="K34" s="16"/>
      <c r="L34" s="26">
        <f t="shared" si="5"/>
        <v>5029408</v>
      </c>
      <c r="M34" s="44">
        <v>2652</v>
      </c>
      <c r="N34" s="75">
        <f>C34-M34</f>
        <v>1237</v>
      </c>
      <c r="O34" s="44">
        <v>3275131</v>
      </c>
      <c r="P34" s="75">
        <f t="shared" si="22"/>
        <v>1372765</v>
      </c>
    </row>
    <row r="35" spans="1:16" ht="12.75">
      <c r="A35" s="95">
        <v>39447</v>
      </c>
      <c r="B35" s="68">
        <v>3891</v>
      </c>
      <c r="C35" s="68">
        <v>3909</v>
      </c>
      <c r="D35" s="68">
        <v>4664841</v>
      </c>
      <c r="E35" s="29">
        <f t="shared" si="24"/>
        <v>1193.359171143515</v>
      </c>
      <c r="F35" s="29">
        <f t="shared" si="23"/>
        <v>1232.9419525065964</v>
      </c>
      <c r="G35" s="29">
        <f t="shared" si="23"/>
        <v>1109.75</v>
      </c>
      <c r="H35" s="68">
        <v>1819</v>
      </c>
      <c r="I35" s="136">
        <f t="shared" si="21"/>
        <v>46.53364031721668</v>
      </c>
      <c r="J35" s="68">
        <v>372467</v>
      </c>
      <c r="K35" s="16"/>
      <c r="L35" s="26">
        <f t="shared" si="5"/>
        <v>5037308</v>
      </c>
      <c r="M35" s="44">
        <v>2653</v>
      </c>
      <c r="N35" s="75">
        <f>C35-M35</f>
        <v>1256</v>
      </c>
      <c r="O35" s="44">
        <v>3270995</v>
      </c>
      <c r="P35" s="75">
        <f t="shared" si="22"/>
        <v>1393846</v>
      </c>
    </row>
    <row r="36" spans="1:16" ht="12.75">
      <c r="A36" s="95">
        <v>39538</v>
      </c>
      <c r="B36" s="68">
        <v>3921</v>
      </c>
      <c r="C36" s="68">
        <v>3937</v>
      </c>
      <c r="D36" s="68">
        <v>4689405</v>
      </c>
      <c r="E36" s="29">
        <f t="shared" si="24"/>
        <v>1191.1112522225044</v>
      </c>
      <c r="F36" s="29">
        <f aca="true" t="shared" si="25" ref="F36:G48">O36/M36</f>
        <v>1232.176204819277</v>
      </c>
      <c r="G36" s="29">
        <f t="shared" si="25"/>
        <v>1105.967993754879</v>
      </c>
      <c r="H36" s="68">
        <v>1782</v>
      </c>
      <c r="I36" s="136">
        <f aca="true" t="shared" si="26" ref="I36:I48">H36*100/C36</f>
        <v>45.26289052578105</v>
      </c>
      <c r="J36" s="68">
        <v>362057</v>
      </c>
      <c r="K36" s="16"/>
      <c r="L36" s="26">
        <f aca="true" t="shared" si="27" ref="L36:L48">D36+J36</f>
        <v>5051462</v>
      </c>
      <c r="M36" s="44">
        <v>2656</v>
      </c>
      <c r="N36" s="75">
        <f>C36-M36</f>
        <v>1281</v>
      </c>
      <c r="O36" s="44">
        <v>3272660</v>
      </c>
      <c r="P36" s="75">
        <f aca="true" t="shared" si="28" ref="P36:P48">D36-O36</f>
        <v>1416745</v>
      </c>
    </row>
    <row r="37" spans="1:16" ht="12.75">
      <c r="A37" s="95">
        <v>39629</v>
      </c>
      <c r="B37" s="68">
        <v>3929</v>
      </c>
      <c r="C37" s="68">
        <v>3949</v>
      </c>
      <c r="D37" s="68">
        <v>4710188</v>
      </c>
      <c r="E37" s="29">
        <f t="shared" si="24"/>
        <v>1192.7546214231452</v>
      </c>
      <c r="F37" s="29">
        <f t="shared" si="25"/>
        <v>1233.409433962264</v>
      </c>
      <c r="G37" s="29">
        <f t="shared" si="25"/>
        <v>1109.8175519630486</v>
      </c>
      <c r="H37" s="68">
        <v>1774</v>
      </c>
      <c r="I37" s="136">
        <f t="shared" si="26"/>
        <v>44.922765257027095</v>
      </c>
      <c r="J37" s="68">
        <v>344334</v>
      </c>
      <c r="K37" s="16"/>
      <c r="L37" s="26">
        <f t="shared" si="27"/>
        <v>5054522</v>
      </c>
      <c r="M37" s="44">
        <v>2650</v>
      </c>
      <c r="N37" s="75">
        <f aca="true" t="shared" si="29" ref="N37:N48">C37-M37</f>
        <v>1299</v>
      </c>
      <c r="O37" s="44">
        <v>3268535</v>
      </c>
      <c r="P37" s="75">
        <f t="shared" si="28"/>
        <v>1441653</v>
      </c>
    </row>
    <row r="38" spans="1:16" ht="12.75">
      <c r="A38" s="95">
        <v>39721</v>
      </c>
      <c r="B38" s="68">
        <v>3946</v>
      </c>
      <c r="C38" s="68">
        <v>3966</v>
      </c>
      <c r="D38" s="68">
        <v>4727276</v>
      </c>
      <c r="E38" s="29">
        <f t="shared" si="24"/>
        <v>1191.9505799294</v>
      </c>
      <c r="F38" s="29">
        <f t="shared" si="25"/>
        <v>1235.4040862656072</v>
      </c>
      <c r="G38" s="29">
        <f t="shared" si="25"/>
        <v>1105.1421012849585</v>
      </c>
      <c r="H38" s="68">
        <v>1792</v>
      </c>
      <c r="I38" s="136">
        <f t="shared" si="26"/>
        <v>45.18406454866364</v>
      </c>
      <c r="J38" s="68">
        <v>341047</v>
      </c>
      <c r="K38" s="16"/>
      <c r="L38" s="26">
        <f t="shared" si="27"/>
        <v>5068323</v>
      </c>
      <c r="M38" s="44">
        <v>2643</v>
      </c>
      <c r="N38" s="75">
        <f t="shared" si="29"/>
        <v>1323</v>
      </c>
      <c r="O38" s="44">
        <v>3265173</v>
      </c>
      <c r="P38" s="75">
        <f t="shared" si="28"/>
        <v>1462103</v>
      </c>
    </row>
    <row r="39" spans="1:16" ht="12.75">
      <c r="A39" s="95">
        <v>39813</v>
      </c>
      <c r="B39" s="68">
        <v>3969</v>
      </c>
      <c r="C39" s="68">
        <v>3983</v>
      </c>
      <c r="D39" s="68">
        <v>4738065</v>
      </c>
      <c r="E39" s="29">
        <f t="shared" si="24"/>
        <v>1189.5719307054983</v>
      </c>
      <c r="F39" s="29">
        <f t="shared" si="25"/>
        <v>1234.4</v>
      </c>
      <c r="G39" s="29">
        <f t="shared" si="25"/>
        <v>1100.9544095665171</v>
      </c>
      <c r="H39" s="68">
        <v>1818</v>
      </c>
      <c r="I39" s="136">
        <f t="shared" si="26"/>
        <v>45.64398694451418</v>
      </c>
      <c r="J39" s="68">
        <v>342688</v>
      </c>
      <c r="K39" s="16"/>
      <c r="L39" s="26">
        <f t="shared" si="27"/>
        <v>5080753</v>
      </c>
      <c r="M39" s="44">
        <v>2645</v>
      </c>
      <c r="N39" s="75">
        <f t="shared" si="29"/>
        <v>1338</v>
      </c>
      <c r="O39" s="44">
        <v>3264988</v>
      </c>
      <c r="P39" s="75">
        <f t="shared" si="28"/>
        <v>1473077</v>
      </c>
    </row>
    <row r="40" spans="1:16" ht="12.75">
      <c r="A40" s="95">
        <v>39903</v>
      </c>
      <c r="B40" s="68">
        <v>3989</v>
      </c>
      <c r="C40" s="68">
        <v>4004</v>
      </c>
      <c r="D40" s="68">
        <v>4757172</v>
      </c>
      <c r="E40" s="29">
        <f t="shared" si="24"/>
        <v>1188.1048951048951</v>
      </c>
      <c r="F40" s="29">
        <f t="shared" si="25"/>
        <v>1233.6299242424243</v>
      </c>
      <c r="G40" s="29">
        <f t="shared" si="25"/>
        <v>1099.991935483871</v>
      </c>
      <c r="H40" s="68">
        <v>1823</v>
      </c>
      <c r="I40" s="136">
        <f t="shared" si="26"/>
        <v>45.52947052947053</v>
      </c>
      <c r="J40" s="68">
        <v>335855</v>
      </c>
      <c r="K40" s="16"/>
      <c r="L40" s="26">
        <f t="shared" si="27"/>
        <v>5093027</v>
      </c>
      <c r="M40" s="44">
        <v>2640</v>
      </c>
      <c r="N40" s="75">
        <f t="shared" si="29"/>
        <v>1364</v>
      </c>
      <c r="O40" s="44">
        <v>3256783</v>
      </c>
      <c r="P40" s="75">
        <f t="shared" si="28"/>
        <v>1500389</v>
      </c>
    </row>
    <row r="41" spans="1:16" ht="12.75">
      <c r="A41" s="95">
        <v>39994</v>
      </c>
      <c r="B41" s="68">
        <v>4011</v>
      </c>
      <c r="C41" s="68">
        <v>4027</v>
      </c>
      <c r="D41" s="68">
        <v>4778147</v>
      </c>
      <c r="E41" s="29">
        <f t="shared" si="24"/>
        <v>1186.5276881052894</v>
      </c>
      <c r="F41" s="29">
        <f t="shared" si="25"/>
        <v>1232.429111531191</v>
      </c>
      <c r="G41" s="29">
        <f t="shared" si="25"/>
        <v>1098.6772793053547</v>
      </c>
      <c r="H41" s="68">
        <v>1703</v>
      </c>
      <c r="I41" s="136">
        <f t="shared" si="26"/>
        <v>42.289545567419914</v>
      </c>
      <c r="J41" s="68">
        <v>329207</v>
      </c>
      <c r="K41" s="16"/>
      <c r="L41" s="26">
        <f t="shared" si="27"/>
        <v>5107354</v>
      </c>
      <c r="M41" s="44">
        <v>2645</v>
      </c>
      <c r="N41" s="75">
        <f t="shared" si="29"/>
        <v>1382</v>
      </c>
      <c r="O41" s="44">
        <v>3259775</v>
      </c>
      <c r="P41" s="75">
        <f t="shared" si="28"/>
        <v>1518372</v>
      </c>
    </row>
    <row r="42" spans="1:16" ht="12.75">
      <c r="A42" s="95">
        <v>40086</v>
      </c>
      <c r="B42" s="68">
        <v>4033</v>
      </c>
      <c r="C42" s="68">
        <v>4050</v>
      </c>
      <c r="D42" s="68">
        <v>4787223</v>
      </c>
      <c r="E42" s="29">
        <f t="shared" si="24"/>
        <v>1182.0303703703703</v>
      </c>
      <c r="F42" s="29">
        <f t="shared" si="25"/>
        <v>1228.3142210486608</v>
      </c>
      <c r="G42" s="29">
        <f t="shared" si="25"/>
        <v>1094.325947105075</v>
      </c>
      <c r="H42" s="68">
        <v>1762</v>
      </c>
      <c r="I42" s="136">
        <f t="shared" si="26"/>
        <v>43.50617283950617</v>
      </c>
      <c r="J42" s="68">
        <v>332829</v>
      </c>
      <c r="K42" s="16"/>
      <c r="L42" s="26">
        <f t="shared" si="27"/>
        <v>5120052</v>
      </c>
      <c r="M42" s="44">
        <v>2651</v>
      </c>
      <c r="N42" s="75">
        <f t="shared" si="29"/>
        <v>1399</v>
      </c>
      <c r="O42" s="44">
        <v>3256261</v>
      </c>
      <c r="P42" s="75">
        <f t="shared" si="28"/>
        <v>1530962</v>
      </c>
    </row>
    <row r="43" spans="1:16" ht="12.75">
      <c r="A43" s="95">
        <v>40178</v>
      </c>
      <c r="B43" s="68">
        <v>4049</v>
      </c>
      <c r="C43" s="68">
        <v>4064</v>
      </c>
      <c r="D43" s="68">
        <v>4803703</v>
      </c>
      <c r="E43" s="29">
        <f t="shared" si="24"/>
        <v>1182.013533464567</v>
      </c>
      <c r="F43" s="29">
        <f t="shared" si="25"/>
        <v>1229.0799095363739</v>
      </c>
      <c r="G43" s="29">
        <f t="shared" si="25"/>
        <v>1093.5180722891566</v>
      </c>
      <c r="H43" s="68">
        <v>1692</v>
      </c>
      <c r="I43" s="136">
        <f t="shared" si="26"/>
        <v>41.63385826771653</v>
      </c>
      <c r="J43" s="68">
        <v>325736</v>
      </c>
      <c r="K43" s="16"/>
      <c r="L43" s="26">
        <f t="shared" si="27"/>
        <v>5129439</v>
      </c>
      <c r="M43" s="44">
        <v>2653</v>
      </c>
      <c r="N43" s="75">
        <f t="shared" si="29"/>
        <v>1411</v>
      </c>
      <c r="O43" s="44">
        <v>3260749</v>
      </c>
      <c r="P43" s="75">
        <f t="shared" si="28"/>
        <v>1542954</v>
      </c>
    </row>
    <row r="44" spans="1:16" ht="12.75">
      <c r="A44" s="95">
        <v>40268</v>
      </c>
      <c r="B44" s="68">
        <v>4069</v>
      </c>
      <c r="C44" s="68">
        <v>4086</v>
      </c>
      <c r="D44" s="68">
        <v>4822256</v>
      </c>
      <c r="E44" s="29">
        <f t="shared" si="24"/>
        <v>1180.1899167890358</v>
      </c>
      <c r="F44" s="29">
        <f t="shared" si="25"/>
        <v>1225.43993993994</v>
      </c>
      <c r="G44" s="29">
        <f t="shared" si="25"/>
        <v>1095.4177215189873</v>
      </c>
      <c r="H44" s="68">
        <v>1782</v>
      </c>
      <c r="I44" s="136">
        <f t="shared" si="26"/>
        <v>43.61233480176212</v>
      </c>
      <c r="J44" s="68">
        <v>324609</v>
      </c>
      <c r="K44" s="16"/>
      <c r="L44" s="26">
        <f t="shared" si="27"/>
        <v>5146865</v>
      </c>
      <c r="M44" s="44">
        <v>2664</v>
      </c>
      <c r="N44" s="75">
        <f t="shared" si="29"/>
        <v>1422</v>
      </c>
      <c r="O44" s="44">
        <v>3264572</v>
      </c>
      <c r="P44" s="75">
        <f t="shared" si="28"/>
        <v>1557684</v>
      </c>
    </row>
    <row r="45" spans="1:16" ht="12.75">
      <c r="A45" s="95">
        <v>40359</v>
      </c>
      <c r="B45" s="68">
        <v>4087</v>
      </c>
      <c r="C45" s="68">
        <v>4107</v>
      </c>
      <c r="D45" s="68">
        <v>4843230</v>
      </c>
      <c r="E45" s="29">
        <f t="shared" si="24"/>
        <v>1179.2622352081812</v>
      </c>
      <c r="F45" s="29">
        <f t="shared" si="25"/>
        <v>1224.0033644859814</v>
      </c>
      <c r="G45" s="29">
        <f t="shared" si="25"/>
        <v>1095.6850558659219</v>
      </c>
      <c r="H45" s="68">
        <v>1783</v>
      </c>
      <c r="I45" s="136">
        <f t="shared" si="26"/>
        <v>43.413683954224496</v>
      </c>
      <c r="J45" s="68">
        <v>323593</v>
      </c>
      <c r="K45" s="16"/>
      <c r="L45" s="26">
        <f t="shared" si="27"/>
        <v>5166823</v>
      </c>
      <c r="M45" s="44">
        <v>2675</v>
      </c>
      <c r="N45" s="75">
        <f t="shared" si="29"/>
        <v>1432</v>
      </c>
      <c r="O45" s="44">
        <v>3274209</v>
      </c>
      <c r="P45" s="75">
        <f t="shared" si="28"/>
        <v>1569021</v>
      </c>
    </row>
    <row r="46" spans="1:16" ht="12.75">
      <c r="A46" s="95">
        <v>40451</v>
      </c>
      <c r="B46" s="68">
        <v>4107</v>
      </c>
      <c r="C46" s="68">
        <v>4127</v>
      </c>
      <c r="D46" s="68">
        <v>4851455</v>
      </c>
      <c r="E46" s="29">
        <f t="shared" si="24"/>
        <v>1175.5403440755997</v>
      </c>
      <c r="F46" s="29">
        <f t="shared" si="25"/>
        <v>1222.7854736053912</v>
      </c>
      <c r="G46" s="29">
        <f t="shared" si="25"/>
        <v>1088.8701923076924</v>
      </c>
      <c r="H46" s="68">
        <v>1886</v>
      </c>
      <c r="I46" s="136">
        <f t="shared" si="26"/>
        <v>45.6990550036346</v>
      </c>
      <c r="J46" s="68">
        <v>327374</v>
      </c>
      <c r="K46" s="16"/>
      <c r="L46" s="26">
        <f t="shared" si="27"/>
        <v>5178829</v>
      </c>
      <c r="M46" s="44">
        <v>2671</v>
      </c>
      <c r="N46" s="75">
        <f t="shared" si="29"/>
        <v>1456</v>
      </c>
      <c r="O46" s="44">
        <v>3266060</v>
      </c>
      <c r="P46" s="75">
        <f t="shared" si="28"/>
        <v>1585395</v>
      </c>
    </row>
    <row r="47" spans="1:16" ht="12.75">
      <c r="A47" s="95">
        <v>40543</v>
      </c>
      <c r="B47" s="68">
        <v>4109</v>
      </c>
      <c r="C47" s="68">
        <v>4129</v>
      </c>
      <c r="D47" s="68">
        <v>4864448</v>
      </c>
      <c r="E47" s="29">
        <f t="shared" si="24"/>
        <v>1178.1177040445627</v>
      </c>
      <c r="F47" s="29">
        <f t="shared" si="25"/>
        <v>1223.6784107946028</v>
      </c>
      <c r="G47" s="29">
        <f t="shared" si="25"/>
        <v>1094.9171800136892</v>
      </c>
      <c r="H47" s="68">
        <v>1812</v>
      </c>
      <c r="I47" s="136">
        <f t="shared" si="26"/>
        <v>43.884717849358196</v>
      </c>
      <c r="J47" s="68">
        <v>317402</v>
      </c>
      <c r="K47" s="16"/>
      <c r="L47" s="26">
        <f t="shared" si="27"/>
        <v>5181850</v>
      </c>
      <c r="M47" s="44">
        <v>2668</v>
      </c>
      <c r="N47" s="75">
        <f t="shared" si="29"/>
        <v>1461</v>
      </c>
      <c r="O47" s="44">
        <v>3264774</v>
      </c>
      <c r="P47" s="75">
        <f t="shared" si="28"/>
        <v>1599674</v>
      </c>
    </row>
    <row r="48" spans="1:16" ht="12.75">
      <c r="A48" s="95">
        <v>40633</v>
      </c>
      <c r="B48" s="68">
        <v>4138</v>
      </c>
      <c r="C48" s="68">
        <v>4159</v>
      </c>
      <c r="D48" s="68">
        <v>4886723</v>
      </c>
      <c r="E48" s="29">
        <f t="shared" si="24"/>
        <v>1174.9754748737678</v>
      </c>
      <c r="F48" s="29">
        <f t="shared" si="25"/>
        <v>1222.0607982096233</v>
      </c>
      <c r="G48" s="29">
        <f t="shared" si="25"/>
        <v>1089.5656292286874</v>
      </c>
      <c r="H48" s="68">
        <v>1966</v>
      </c>
      <c r="I48" s="136">
        <f t="shared" si="26"/>
        <v>47.27097860062515</v>
      </c>
      <c r="J48" s="68">
        <v>322499</v>
      </c>
      <c r="K48" s="16"/>
      <c r="L48" s="26">
        <f t="shared" si="27"/>
        <v>5209222</v>
      </c>
      <c r="M48" s="44">
        <v>2681</v>
      </c>
      <c r="N48" s="75">
        <f t="shared" si="29"/>
        <v>1478</v>
      </c>
      <c r="O48" s="44">
        <v>3276345</v>
      </c>
      <c r="P48" s="75">
        <f t="shared" si="28"/>
        <v>1610378</v>
      </c>
    </row>
    <row r="49" spans="1:16" ht="12.75">
      <c r="A49" s="95">
        <v>40724</v>
      </c>
      <c r="B49" s="68">
        <v>4162</v>
      </c>
      <c r="C49" s="68">
        <v>4186</v>
      </c>
      <c r="D49" s="68">
        <v>4906893</v>
      </c>
      <c r="E49" s="29">
        <f aca="true" t="shared" si="30" ref="E49:E55">D49/C49</f>
        <v>1172.2152412804587</v>
      </c>
      <c r="F49" s="29">
        <f aca="true" t="shared" si="31" ref="F49:G52">O49/M49</f>
        <v>1219.513966480447</v>
      </c>
      <c r="G49" s="29">
        <f t="shared" si="31"/>
        <v>1087.6069287141906</v>
      </c>
      <c r="H49" s="68">
        <v>1851</v>
      </c>
      <c r="I49" s="136">
        <f aca="true" t="shared" si="32" ref="I49:I55">H49*100/C49</f>
        <v>44.218824653607264</v>
      </c>
      <c r="J49" s="68">
        <v>322230</v>
      </c>
      <c r="K49" s="16"/>
      <c r="L49" s="26">
        <f aca="true" t="shared" si="33" ref="L49:L55">D49+J49</f>
        <v>5229123</v>
      </c>
      <c r="M49" s="44">
        <v>2685</v>
      </c>
      <c r="N49" s="75">
        <f aca="true" t="shared" si="34" ref="N49:N55">C49-M49</f>
        <v>1501</v>
      </c>
      <c r="O49" s="44">
        <v>3274395</v>
      </c>
      <c r="P49" s="75">
        <f aca="true" t="shared" si="35" ref="P49:P55">D49-O49</f>
        <v>1632498</v>
      </c>
    </row>
    <row r="50" spans="1:16" ht="12.75">
      <c r="A50" s="95">
        <v>40816</v>
      </c>
      <c r="B50" s="68">
        <v>4179</v>
      </c>
      <c r="C50" s="68">
        <v>4198</v>
      </c>
      <c r="D50" s="68">
        <v>4922894</v>
      </c>
      <c r="E50" s="29">
        <f t="shared" si="30"/>
        <v>1172.676036207718</v>
      </c>
      <c r="F50" s="29">
        <f t="shared" si="31"/>
        <v>1220.7372344390608</v>
      </c>
      <c r="G50" s="29">
        <f t="shared" si="31"/>
        <v>1087.5617161716173</v>
      </c>
      <c r="H50" s="68">
        <v>1859</v>
      </c>
      <c r="I50" s="136">
        <f t="shared" si="32"/>
        <v>44.282991900905195</v>
      </c>
      <c r="J50" s="68">
        <v>313776</v>
      </c>
      <c r="K50" s="16"/>
      <c r="L50" s="26">
        <f t="shared" si="33"/>
        <v>5236670</v>
      </c>
      <c r="M50" s="44">
        <v>2683</v>
      </c>
      <c r="N50" s="75">
        <f t="shared" si="34"/>
        <v>1515</v>
      </c>
      <c r="O50" s="44">
        <v>3275238</v>
      </c>
      <c r="P50" s="75">
        <f t="shared" si="35"/>
        <v>1647656</v>
      </c>
    </row>
    <row r="51" spans="1:16" ht="12.75">
      <c r="A51" s="95">
        <v>40908</v>
      </c>
      <c r="B51" s="68">
        <v>4189</v>
      </c>
      <c r="C51" s="68">
        <v>4212</v>
      </c>
      <c r="D51" s="68">
        <v>4938738</v>
      </c>
      <c r="E51" s="29">
        <f t="shared" si="30"/>
        <v>1172.5398860398861</v>
      </c>
      <c r="F51" s="29">
        <f t="shared" si="31"/>
        <v>1220.8084391336818</v>
      </c>
      <c r="G51" s="29">
        <f t="shared" si="31"/>
        <v>1088.27444589309</v>
      </c>
      <c r="H51" s="68">
        <v>1805</v>
      </c>
      <c r="I51" s="136">
        <f t="shared" si="32"/>
        <v>42.85375118708452</v>
      </c>
      <c r="J51" s="68">
        <v>295254</v>
      </c>
      <c r="K51" s="16"/>
      <c r="L51" s="26">
        <f t="shared" si="33"/>
        <v>5233992</v>
      </c>
      <c r="M51" s="44">
        <v>2678</v>
      </c>
      <c r="N51" s="75">
        <f t="shared" si="34"/>
        <v>1534</v>
      </c>
      <c r="O51" s="44">
        <v>3269325</v>
      </c>
      <c r="P51" s="75">
        <f t="shared" si="35"/>
        <v>1669413</v>
      </c>
    </row>
    <row r="52" spans="1:16" ht="12.75">
      <c r="A52" s="95">
        <v>40999</v>
      </c>
      <c r="B52" s="68">
        <v>4219</v>
      </c>
      <c r="C52" s="68">
        <v>4245</v>
      </c>
      <c r="D52" s="68">
        <v>4960314</v>
      </c>
      <c r="E52" s="29">
        <f t="shared" si="30"/>
        <v>1168.5074204946995</v>
      </c>
      <c r="F52" s="29">
        <f t="shared" si="31"/>
        <v>1216.596881959911</v>
      </c>
      <c r="G52" s="29">
        <f t="shared" si="31"/>
        <v>1084.9787234042553</v>
      </c>
      <c r="H52" s="68">
        <v>1790</v>
      </c>
      <c r="I52" s="136">
        <f t="shared" si="32"/>
        <v>42.16725559481743</v>
      </c>
      <c r="J52" s="68">
        <v>296451</v>
      </c>
      <c r="K52" s="16"/>
      <c r="L52" s="26">
        <f t="shared" si="33"/>
        <v>5256765</v>
      </c>
      <c r="M52" s="44">
        <v>2694</v>
      </c>
      <c r="N52" s="75">
        <f t="shared" si="34"/>
        <v>1551</v>
      </c>
      <c r="O52" s="44">
        <v>3277512</v>
      </c>
      <c r="P52" s="75">
        <f t="shared" si="35"/>
        <v>1682802</v>
      </c>
    </row>
    <row r="53" spans="1:16" ht="12.75">
      <c r="A53" s="95">
        <v>41090</v>
      </c>
      <c r="B53" s="68">
        <v>4240</v>
      </c>
      <c r="C53" s="68">
        <v>4267</v>
      </c>
      <c r="D53" s="68">
        <v>4981898</v>
      </c>
      <c r="E53" s="29">
        <f t="shared" si="30"/>
        <v>1167.54112959925</v>
      </c>
      <c r="F53" s="29">
        <f aca="true" t="shared" si="36" ref="F53:G55">O53/M53</f>
        <v>1217.0545859636093</v>
      </c>
      <c r="G53" s="29">
        <f t="shared" si="36"/>
        <v>1082.8271918678527</v>
      </c>
      <c r="H53" s="68">
        <v>1717</v>
      </c>
      <c r="I53" s="136">
        <f t="shared" si="32"/>
        <v>40.2390438247012</v>
      </c>
      <c r="J53" s="68">
        <v>286877</v>
      </c>
      <c r="K53" s="16"/>
      <c r="L53" s="26">
        <f t="shared" si="33"/>
        <v>5268775</v>
      </c>
      <c r="M53" s="44">
        <v>2693</v>
      </c>
      <c r="N53" s="75">
        <f t="shared" si="34"/>
        <v>1574</v>
      </c>
      <c r="O53" s="44">
        <v>3277528</v>
      </c>
      <c r="P53" s="75">
        <f t="shared" si="35"/>
        <v>1704370</v>
      </c>
    </row>
    <row r="54" spans="1:16" ht="12.75">
      <c r="A54" s="95">
        <v>41182</v>
      </c>
      <c r="B54" s="68">
        <v>4257</v>
      </c>
      <c r="C54" s="68">
        <v>4284</v>
      </c>
      <c r="D54" s="68">
        <v>4995650</v>
      </c>
      <c r="E54" s="29">
        <f t="shared" si="30"/>
        <v>1166.1181139122316</v>
      </c>
      <c r="F54" s="29">
        <f t="shared" si="36"/>
        <v>1214.540691192865</v>
      </c>
      <c r="G54" s="29">
        <f t="shared" si="36"/>
        <v>1084.3195229127432</v>
      </c>
      <c r="H54" s="68">
        <v>1855</v>
      </c>
      <c r="I54" s="136">
        <f t="shared" si="32"/>
        <v>43.30065359477124</v>
      </c>
      <c r="J54" s="68">
        <v>292974</v>
      </c>
      <c r="K54" s="16"/>
      <c r="L54" s="26">
        <f t="shared" si="33"/>
        <v>5288624</v>
      </c>
      <c r="M54" s="44">
        <v>2691</v>
      </c>
      <c r="N54" s="75">
        <f t="shared" si="34"/>
        <v>1593</v>
      </c>
      <c r="O54" s="44">
        <v>3268329</v>
      </c>
      <c r="P54" s="75">
        <f t="shared" si="35"/>
        <v>1727321</v>
      </c>
    </row>
    <row r="55" spans="1:16" ht="12.75">
      <c r="A55" s="95">
        <v>41274</v>
      </c>
      <c r="B55" s="68">
        <v>4279</v>
      </c>
      <c r="C55" s="68">
        <v>4299</v>
      </c>
      <c r="D55" s="68">
        <v>5005907</v>
      </c>
      <c r="E55" s="29">
        <f t="shared" si="30"/>
        <v>1164.4352174924402</v>
      </c>
      <c r="F55" s="29">
        <f t="shared" si="36"/>
        <v>1214.9441340782123</v>
      </c>
      <c r="G55" s="29">
        <f t="shared" si="36"/>
        <v>1080.4101610904586</v>
      </c>
      <c r="H55" s="68">
        <v>1726</v>
      </c>
      <c r="I55" s="136">
        <f t="shared" si="32"/>
        <v>40.148871830658294</v>
      </c>
      <c r="J55" s="68">
        <v>290941</v>
      </c>
      <c r="K55" s="16"/>
      <c r="L55" s="26">
        <f t="shared" si="33"/>
        <v>5296848</v>
      </c>
      <c r="M55" s="44">
        <v>2685</v>
      </c>
      <c r="N55" s="75">
        <f t="shared" si="34"/>
        <v>1614</v>
      </c>
      <c r="O55" s="44">
        <v>3262125</v>
      </c>
      <c r="P55" s="75">
        <f t="shared" si="35"/>
        <v>1743782</v>
      </c>
    </row>
    <row r="56" spans="1:16" ht="12.75">
      <c r="A56" s="95">
        <v>41364</v>
      </c>
      <c r="B56" s="68">
        <v>4293</v>
      </c>
      <c r="C56" s="68">
        <v>4313</v>
      </c>
      <c r="D56" s="68">
        <v>5021491</v>
      </c>
      <c r="E56" s="29">
        <f aca="true" t="shared" si="37" ref="E56:E62">D56/C56</f>
        <v>1164.2687224669603</v>
      </c>
      <c r="F56" s="29">
        <f aca="true" t="shared" si="38" ref="F56:G58">O56/M56</f>
        <v>1216.0406868234415</v>
      </c>
      <c r="G56" s="29">
        <f t="shared" si="38"/>
        <v>1079.3867809057529</v>
      </c>
      <c r="H56" s="68">
        <v>1772</v>
      </c>
      <c r="I56" s="136">
        <f aca="true" t="shared" si="39" ref="I56:I62">H56*100/C56</f>
        <v>41.085091583584514</v>
      </c>
      <c r="J56" s="68">
        <v>276488</v>
      </c>
      <c r="K56" s="16"/>
      <c r="L56" s="26">
        <f aca="true" t="shared" si="40" ref="L56:L62">D56+J56</f>
        <v>5297979</v>
      </c>
      <c r="M56" s="44">
        <v>2679</v>
      </c>
      <c r="N56" s="75">
        <f aca="true" t="shared" si="41" ref="N56:N62">C56-M56</f>
        <v>1634</v>
      </c>
      <c r="O56" s="44">
        <v>3257773</v>
      </c>
      <c r="P56" s="75">
        <f aca="true" t="shared" si="42" ref="P56:P62">D56-O56</f>
        <v>1763718</v>
      </c>
    </row>
    <row r="57" spans="1:16" ht="12.75">
      <c r="A57" s="95">
        <v>41455</v>
      </c>
      <c r="B57" s="68">
        <v>4316</v>
      </c>
      <c r="C57" s="68">
        <v>4336</v>
      </c>
      <c r="D57" s="68">
        <v>5038687</v>
      </c>
      <c r="E57" s="29">
        <f t="shared" si="37"/>
        <v>1162.0588099630995</v>
      </c>
      <c r="F57" s="29">
        <f t="shared" si="38"/>
        <v>1210.7111028592647</v>
      </c>
      <c r="G57" s="29">
        <f t="shared" si="38"/>
        <v>1082.3140596469873</v>
      </c>
      <c r="H57" s="68">
        <v>1697</v>
      </c>
      <c r="I57" s="136">
        <f t="shared" si="39"/>
        <v>39.13745387453874</v>
      </c>
      <c r="J57" s="68">
        <v>273903</v>
      </c>
      <c r="K57" s="16"/>
      <c r="L57" s="26">
        <f t="shared" si="40"/>
        <v>5312590</v>
      </c>
      <c r="M57" s="44">
        <v>2693</v>
      </c>
      <c r="N57" s="75">
        <f t="shared" si="41"/>
        <v>1643</v>
      </c>
      <c r="O57" s="44">
        <v>3260445</v>
      </c>
      <c r="P57" s="75">
        <f t="shared" si="42"/>
        <v>1778242</v>
      </c>
    </row>
    <row r="58" spans="1:16" ht="12.75">
      <c r="A58" s="95">
        <v>41547</v>
      </c>
      <c r="B58" s="68">
        <v>4363</v>
      </c>
      <c r="C58" s="68">
        <v>4387</v>
      </c>
      <c r="D58" s="68">
        <v>5054796</v>
      </c>
      <c r="E58" s="29">
        <f t="shared" si="37"/>
        <v>1152.2215637109641</v>
      </c>
      <c r="F58" s="29">
        <f t="shared" si="38"/>
        <v>1203.6744186046512</v>
      </c>
      <c r="G58" s="29">
        <f t="shared" si="38"/>
        <v>1069.15494636472</v>
      </c>
      <c r="H58" s="68">
        <v>1949</v>
      </c>
      <c r="I58" s="136">
        <f t="shared" si="39"/>
        <v>44.426715295190334</v>
      </c>
      <c r="J58" s="68">
        <v>298131</v>
      </c>
      <c r="K58" s="16"/>
      <c r="L58" s="26">
        <f t="shared" si="40"/>
        <v>5352927</v>
      </c>
      <c r="M58" s="44">
        <v>2709</v>
      </c>
      <c r="N58" s="75">
        <f t="shared" si="41"/>
        <v>1678</v>
      </c>
      <c r="O58" s="44">
        <v>3260754</v>
      </c>
      <c r="P58" s="75">
        <f t="shared" si="42"/>
        <v>1794042</v>
      </c>
    </row>
    <row r="59" spans="1:16" ht="12.75">
      <c r="A59" s="95">
        <v>41639</v>
      </c>
      <c r="B59" s="68">
        <v>4387</v>
      </c>
      <c r="C59" s="68">
        <v>4407</v>
      </c>
      <c r="D59" s="68">
        <v>5068597</v>
      </c>
      <c r="E59" s="29">
        <f t="shared" si="37"/>
        <v>1150.124120717041</v>
      </c>
      <c r="F59" s="29">
        <f aca="true" t="shared" si="43" ref="F59:G62">O59/M59</f>
        <v>1200.4643516808276</v>
      </c>
      <c r="G59" s="29">
        <f t="shared" si="43"/>
        <v>1069.964705882353</v>
      </c>
      <c r="H59" s="68">
        <v>1840</v>
      </c>
      <c r="I59" s="136">
        <f t="shared" si="39"/>
        <v>41.75175856591786</v>
      </c>
      <c r="J59" s="68">
        <v>297969</v>
      </c>
      <c r="K59" s="16"/>
      <c r="L59" s="26">
        <f t="shared" si="40"/>
        <v>5366566</v>
      </c>
      <c r="M59" s="44">
        <v>2707</v>
      </c>
      <c r="N59" s="75">
        <f t="shared" si="41"/>
        <v>1700</v>
      </c>
      <c r="O59" s="44">
        <v>3249657</v>
      </c>
      <c r="P59" s="75">
        <f t="shared" si="42"/>
        <v>1818940</v>
      </c>
    </row>
    <row r="60" spans="1:16" ht="12.75">
      <c r="A60" s="95">
        <v>41729</v>
      </c>
      <c r="B60" s="68">
        <v>4430</v>
      </c>
      <c r="C60" s="68">
        <v>4449</v>
      </c>
      <c r="D60" s="68">
        <v>5087351</v>
      </c>
      <c r="E60" s="29">
        <f t="shared" si="37"/>
        <v>1143.4819060463026</v>
      </c>
      <c r="F60" s="29">
        <f t="shared" si="43"/>
        <v>1195.9363033873344</v>
      </c>
      <c r="G60" s="29">
        <f t="shared" si="43"/>
        <v>1061.274091171379</v>
      </c>
      <c r="H60" s="68">
        <v>1890</v>
      </c>
      <c r="I60" s="136">
        <f t="shared" si="39"/>
        <v>42.481456507080246</v>
      </c>
      <c r="J60" s="68">
        <v>312647</v>
      </c>
      <c r="K60" s="16"/>
      <c r="L60" s="26">
        <f t="shared" si="40"/>
        <v>5399998</v>
      </c>
      <c r="M60" s="44">
        <v>2716</v>
      </c>
      <c r="N60" s="75">
        <f t="shared" si="41"/>
        <v>1733</v>
      </c>
      <c r="O60" s="44">
        <v>3248163</v>
      </c>
      <c r="P60" s="75">
        <f t="shared" si="42"/>
        <v>1839188</v>
      </c>
    </row>
    <row r="61" spans="1:16" ht="12.75">
      <c r="A61" s="95">
        <v>41820</v>
      </c>
      <c r="B61" s="68">
        <v>4475</v>
      </c>
      <c r="C61" s="68">
        <v>4493</v>
      </c>
      <c r="D61" s="68">
        <v>5104083</v>
      </c>
      <c r="E61" s="29">
        <f t="shared" si="37"/>
        <v>1136.0077898953928</v>
      </c>
      <c r="F61" s="29">
        <f t="shared" si="43"/>
        <v>1189.2549523110786</v>
      </c>
      <c r="G61" s="29">
        <f t="shared" si="43"/>
        <v>1053.8619128466328</v>
      </c>
      <c r="H61" s="68">
        <v>1917</v>
      </c>
      <c r="I61" s="136">
        <f t="shared" si="39"/>
        <v>42.66636990874694</v>
      </c>
      <c r="J61" s="68">
        <v>324301</v>
      </c>
      <c r="K61" s="16"/>
      <c r="L61" s="26">
        <f t="shared" si="40"/>
        <v>5428384</v>
      </c>
      <c r="M61" s="44">
        <v>2726</v>
      </c>
      <c r="N61" s="75">
        <f t="shared" si="41"/>
        <v>1767</v>
      </c>
      <c r="O61" s="44">
        <v>3241909</v>
      </c>
      <c r="P61" s="75">
        <f t="shared" si="42"/>
        <v>1862174</v>
      </c>
    </row>
    <row r="62" spans="1:16" ht="12.75">
      <c r="A62" s="95">
        <v>41912</v>
      </c>
      <c r="B62" s="68">
        <v>4495</v>
      </c>
      <c r="C62" s="68">
        <v>4513</v>
      </c>
      <c r="D62" s="68">
        <v>5114896</v>
      </c>
      <c r="E62" s="29">
        <f t="shared" si="37"/>
        <v>1133.3693773543098</v>
      </c>
      <c r="F62" s="29">
        <f t="shared" si="43"/>
        <v>1186.529757531227</v>
      </c>
      <c r="G62" s="29">
        <f t="shared" si="43"/>
        <v>1052.5750977107762</v>
      </c>
      <c r="H62" s="68">
        <v>2001</v>
      </c>
      <c r="I62" s="136">
        <f t="shared" si="39"/>
        <v>44.33857744294261</v>
      </c>
      <c r="J62" s="68">
        <v>328370</v>
      </c>
      <c r="K62" s="16"/>
      <c r="L62" s="26">
        <f t="shared" si="40"/>
        <v>5443266</v>
      </c>
      <c r="M62" s="44">
        <v>2722</v>
      </c>
      <c r="N62" s="75">
        <f t="shared" si="41"/>
        <v>1791</v>
      </c>
      <c r="O62" s="44">
        <v>3229734</v>
      </c>
      <c r="P62" s="75">
        <f t="shared" si="42"/>
        <v>1885162</v>
      </c>
    </row>
    <row r="63" spans="1:16" ht="12.75">
      <c r="A63" s="95">
        <v>42004</v>
      </c>
      <c r="B63" s="68">
        <v>4512</v>
      </c>
      <c r="C63" s="68">
        <v>4531</v>
      </c>
      <c r="D63" s="68">
        <v>5127837</v>
      </c>
      <c r="E63" s="29">
        <f aca="true" t="shared" si="44" ref="E63:E68">D63/C63</f>
        <v>1131.7230192010593</v>
      </c>
      <c r="F63" s="29">
        <f aca="true" t="shared" si="45" ref="F63:G65">O63/M63</f>
        <v>1185.4952240999264</v>
      </c>
      <c r="G63" s="29">
        <f t="shared" si="45"/>
        <v>1050.812050856827</v>
      </c>
      <c r="H63" s="68">
        <v>1987</v>
      </c>
      <c r="I63" s="136">
        <f aca="true" t="shared" si="46" ref="I63:I68">H63*100/C63</f>
        <v>43.85345398366807</v>
      </c>
      <c r="J63" s="68">
        <v>331663</v>
      </c>
      <c r="K63" s="16"/>
      <c r="L63" s="26">
        <f aca="true" t="shared" si="47" ref="L63:L68">D63+J63</f>
        <v>5459500</v>
      </c>
      <c r="M63" s="44">
        <v>2722</v>
      </c>
      <c r="N63" s="75">
        <f aca="true" t="shared" si="48" ref="N63:N68">C63-M63</f>
        <v>1809</v>
      </c>
      <c r="O63" s="44">
        <v>3226918</v>
      </c>
      <c r="P63" s="75">
        <f aca="true" t="shared" si="49" ref="P63:P68">D63-O63</f>
        <v>1900919</v>
      </c>
    </row>
    <row r="64" spans="1:16" ht="12.75">
      <c r="A64" s="95">
        <v>42094</v>
      </c>
      <c r="B64" s="68">
        <v>4537</v>
      </c>
      <c r="C64" s="68">
        <v>4553</v>
      </c>
      <c r="D64" s="68">
        <v>5143339</v>
      </c>
      <c r="E64" s="29">
        <f t="shared" si="44"/>
        <v>1129.6593454864924</v>
      </c>
      <c r="F64" s="29">
        <f t="shared" si="45"/>
        <v>1183.7607025246982</v>
      </c>
      <c r="G64" s="29">
        <f t="shared" si="45"/>
        <v>1048.418131868132</v>
      </c>
      <c r="H64" s="68">
        <v>2052</v>
      </c>
      <c r="I64" s="136">
        <f t="shared" si="46"/>
        <v>45.069185152646604</v>
      </c>
      <c r="J64" s="68">
        <v>323253</v>
      </c>
      <c r="K64" s="16"/>
      <c r="L64" s="26">
        <f t="shared" si="47"/>
        <v>5466592</v>
      </c>
      <c r="M64" s="44">
        <v>2733</v>
      </c>
      <c r="N64" s="75">
        <f t="shared" si="48"/>
        <v>1820</v>
      </c>
      <c r="O64" s="44">
        <v>3235218</v>
      </c>
      <c r="P64" s="75">
        <f t="shared" si="49"/>
        <v>1908121</v>
      </c>
    </row>
    <row r="65" spans="1:16" ht="12.75">
      <c r="A65" s="95">
        <v>42185</v>
      </c>
      <c r="B65" s="68">
        <v>4563</v>
      </c>
      <c r="C65" s="68">
        <v>4580</v>
      </c>
      <c r="D65" s="68">
        <v>5160833</v>
      </c>
      <c r="E65" s="29">
        <f t="shared" si="44"/>
        <v>1126.8194323144105</v>
      </c>
      <c r="F65" s="29">
        <f t="shared" si="45"/>
        <v>1177.8306627822287</v>
      </c>
      <c r="G65" s="29">
        <f t="shared" si="45"/>
        <v>1050.4416575790622</v>
      </c>
      <c r="H65" s="68">
        <v>1933</v>
      </c>
      <c r="I65" s="136">
        <f t="shared" si="46"/>
        <v>42.20524017467249</v>
      </c>
      <c r="J65" s="68">
        <v>325047</v>
      </c>
      <c r="K65" s="16"/>
      <c r="L65" s="26">
        <f t="shared" si="47"/>
        <v>5485880</v>
      </c>
      <c r="M65" s="44">
        <v>2746</v>
      </c>
      <c r="N65" s="75">
        <f t="shared" si="48"/>
        <v>1834</v>
      </c>
      <c r="O65" s="44">
        <v>3234323</v>
      </c>
      <c r="P65" s="75">
        <f t="shared" si="49"/>
        <v>1926510</v>
      </c>
    </row>
    <row r="66" spans="1:16" ht="12.75">
      <c r="A66" s="95">
        <v>42277</v>
      </c>
      <c r="B66" s="68">
        <v>4573</v>
      </c>
      <c r="C66" s="68">
        <v>4589</v>
      </c>
      <c r="D66" s="68">
        <v>5173875</v>
      </c>
      <c r="E66" s="29">
        <f t="shared" si="44"/>
        <v>1127.4515144911745</v>
      </c>
      <c r="F66" s="29">
        <f aca="true" t="shared" si="50" ref="F66:G68">O66/M66</f>
        <v>1178.3877103145574</v>
      </c>
      <c r="G66" s="29">
        <f t="shared" si="50"/>
        <v>1052.3789757412399</v>
      </c>
      <c r="H66" s="68">
        <v>2015</v>
      </c>
      <c r="I66" s="136">
        <f t="shared" si="46"/>
        <v>43.90934844192635</v>
      </c>
      <c r="J66" s="68">
        <v>311500</v>
      </c>
      <c r="K66" s="16"/>
      <c r="L66" s="26">
        <f t="shared" si="47"/>
        <v>5485375</v>
      </c>
      <c r="M66" s="44">
        <v>2734</v>
      </c>
      <c r="N66" s="75">
        <f t="shared" si="48"/>
        <v>1855</v>
      </c>
      <c r="O66" s="44">
        <v>3221712</v>
      </c>
      <c r="P66" s="75">
        <f t="shared" si="49"/>
        <v>1952163</v>
      </c>
    </row>
    <row r="67" spans="1:16" ht="12.75">
      <c r="A67" s="95">
        <v>42369</v>
      </c>
      <c r="B67" s="68">
        <v>4585</v>
      </c>
      <c r="C67" s="68">
        <v>4602</v>
      </c>
      <c r="D67" s="68">
        <v>5188786</v>
      </c>
      <c r="E67" s="29">
        <f t="shared" si="44"/>
        <v>1127.5067362016514</v>
      </c>
      <c r="F67" s="29">
        <f t="shared" si="50"/>
        <v>1178.159691629956</v>
      </c>
      <c r="G67" s="29">
        <f t="shared" si="50"/>
        <v>1054.035676251331</v>
      </c>
      <c r="H67" s="68">
        <v>1890</v>
      </c>
      <c r="I67" s="136">
        <f t="shared" si="46"/>
        <v>41.06910039113429</v>
      </c>
      <c r="J67" s="68">
        <v>297699</v>
      </c>
      <c r="K67" s="16"/>
      <c r="L67" s="26">
        <f t="shared" si="47"/>
        <v>5486485</v>
      </c>
      <c r="M67" s="44">
        <v>2724</v>
      </c>
      <c r="N67" s="75">
        <f t="shared" si="48"/>
        <v>1878</v>
      </c>
      <c r="O67" s="44">
        <v>3209307</v>
      </c>
      <c r="P67" s="75">
        <f t="shared" si="49"/>
        <v>1979479</v>
      </c>
    </row>
    <row r="68" spans="1:16" ht="12.75">
      <c r="A68" s="95">
        <v>42460</v>
      </c>
      <c r="B68" s="68">
        <v>4606</v>
      </c>
      <c r="C68" s="68">
        <v>4622</v>
      </c>
      <c r="D68" s="68">
        <v>5200300</v>
      </c>
      <c r="E68" s="29">
        <f t="shared" si="44"/>
        <v>1125.118996105582</v>
      </c>
      <c r="F68" s="29">
        <f t="shared" si="50"/>
        <v>1176.0655677655677</v>
      </c>
      <c r="G68" s="29">
        <f t="shared" si="50"/>
        <v>1051.6072938689217</v>
      </c>
      <c r="H68" s="68">
        <v>1835</v>
      </c>
      <c r="I68" s="136">
        <f t="shared" si="46"/>
        <v>39.701427953266986</v>
      </c>
      <c r="J68" s="68">
        <v>289895</v>
      </c>
      <c r="K68" s="16"/>
      <c r="L68" s="26">
        <f t="shared" si="47"/>
        <v>5490195</v>
      </c>
      <c r="M68" s="44">
        <v>2730</v>
      </c>
      <c r="N68" s="75">
        <f t="shared" si="48"/>
        <v>1892</v>
      </c>
      <c r="O68" s="44">
        <v>3210659</v>
      </c>
      <c r="P68" s="75">
        <f t="shared" si="49"/>
        <v>1989641</v>
      </c>
    </row>
    <row r="69" spans="1:16" ht="12.75">
      <c r="A69" s="95">
        <v>42551</v>
      </c>
      <c r="B69" s="68">
        <v>4643</v>
      </c>
      <c r="C69" s="68">
        <v>4658</v>
      </c>
      <c r="D69" s="68">
        <v>5223144</v>
      </c>
      <c r="E69" s="29">
        <f aca="true" t="shared" si="51" ref="E69:E74">D69/C69</f>
        <v>1121.3276084156291</v>
      </c>
      <c r="F69" s="29">
        <f aca="true" t="shared" si="52" ref="F69:G72">O69/M69</f>
        <v>1174.0347985347985</v>
      </c>
      <c r="G69" s="29">
        <f t="shared" si="52"/>
        <v>1046.695539419087</v>
      </c>
      <c r="H69" s="68">
        <v>3043</v>
      </c>
      <c r="I69" s="136">
        <f aca="true" t="shared" si="53" ref="I69:I74">H69*100/C69</f>
        <v>65.32846715328468</v>
      </c>
      <c r="J69" s="68">
        <v>247645</v>
      </c>
      <c r="K69" s="16"/>
      <c r="L69" s="26">
        <f aca="true" t="shared" si="54" ref="L69:L74">D69+J69</f>
        <v>5470789</v>
      </c>
      <c r="M69" s="44">
        <v>2730</v>
      </c>
      <c r="N69" s="75">
        <f aca="true" t="shared" si="55" ref="N69:N74">C69-M69</f>
        <v>1928</v>
      </c>
      <c r="O69" s="44">
        <v>3205115</v>
      </c>
      <c r="P69" s="75">
        <f aca="true" t="shared" si="56" ref="P69:P74">D69-O69</f>
        <v>2018029</v>
      </c>
    </row>
    <row r="70" spans="1:16" ht="12.75">
      <c r="A70" s="95">
        <v>42643</v>
      </c>
      <c r="B70" s="68">
        <v>4664</v>
      </c>
      <c r="C70" s="68">
        <v>4686</v>
      </c>
      <c r="D70" s="68">
        <v>5225061</v>
      </c>
      <c r="E70" s="29">
        <f t="shared" si="51"/>
        <v>1115.0364916773367</v>
      </c>
      <c r="F70" s="29">
        <f t="shared" si="52"/>
        <v>1168.968259759212</v>
      </c>
      <c r="G70" s="29">
        <f t="shared" si="52"/>
        <v>1039.0329048843187</v>
      </c>
      <c r="H70" s="68">
        <v>2712</v>
      </c>
      <c r="I70" s="136">
        <f t="shared" si="53"/>
        <v>57.87451984635083</v>
      </c>
      <c r="J70" s="68">
        <v>270029</v>
      </c>
      <c r="K70" s="16"/>
      <c r="L70" s="26">
        <f t="shared" si="54"/>
        <v>5495090</v>
      </c>
      <c r="M70" s="107">
        <v>2741</v>
      </c>
      <c r="N70" s="75">
        <f t="shared" si="55"/>
        <v>1945</v>
      </c>
      <c r="O70" s="107">
        <v>3204142</v>
      </c>
      <c r="P70" s="75">
        <f t="shared" si="56"/>
        <v>2020919</v>
      </c>
    </row>
    <row r="71" spans="1:16" ht="12.75">
      <c r="A71" s="95">
        <v>42735</v>
      </c>
      <c r="B71" s="68">
        <v>4644</v>
      </c>
      <c r="C71" s="68">
        <v>4668</v>
      </c>
      <c r="D71" s="68">
        <v>5229052</v>
      </c>
      <c r="E71" s="29">
        <f t="shared" si="51"/>
        <v>1120.191088260497</v>
      </c>
      <c r="F71" s="29">
        <f t="shared" si="52"/>
        <v>1173.5264317180618</v>
      </c>
      <c r="G71" s="29">
        <f t="shared" si="52"/>
        <v>1045.4557613168724</v>
      </c>
      <c r="H71" s="68">
        <v>2307</v>
      </c>
      <c r="I71" s="136">
        <f t="shared" si="53"/>
        <v>49.42159383033419</v>
      </c>
      <c r="J71" s="68">
        <v>243635</v>
      </c>
      <c r="K71" s="16"/>
      <c r="L71" s="26">
        <f t="shared" si="54"/>
        <v>5472687</v>
      </c>
      <c r="M71" s="107">
        <v>2724</v>
      </c>
      <c r="N71" s="75">
        <f t="shared" si="55"/>
        <v>1944</v>
      </c>
      <c r="O71" s="107">
        <v>3196686</v>
      </c>
      <c r="P71" s="75">
        <f t="shared" si="56"/>
        <v>2032366</v>
      </c>
    </row>
    <row r="72" spans="1:16" ht="12.75">
      <c r="A72" s="95">
        <v>42825</v>
      </c>
      <c r="B72" s="68">
        <v>4666</v>
      </c>
      <c r="C72" s="68">
        <v>4689</v>
      </c>
      <c r="D72" s="68">
        <v>5231526</v>
      </c>
      <c r="E72" s="29">
        <f t="shared" si="51"/>
        <v>1115.70185540627</v>
      </c>
      <c r="F72" s="29">
        <f t="shared" si="52"/>
        <v>1167.9634636463281</v>
      </c>
      <c r="G72" s="29">
        <f t="shared" si="52"/>
        <v>1042.423155737705</v>
      </c>
      <c r="H72" s="68">
        <v>1703</v>
      </c>
      <c r="I72" s="136">
        <f t="shared" si="53"/>
        <v>36.3190445724035</v>
      </c>
      <c r="J72" s="68">
        <v>254385</v>
      </c>
      <c r="K72" s="16"/>
      <c r="L72" s="26">
        <f t="shared" si="54"/>
        <v>5485911</v>
      </c>
      <c r="M72" s="107">
        <v>2737</v>
      </c>
      <c r="N72" s="75">
        <f t="shared" si="55"/>
        <v>1952</v>
      </c>
      <c r="O72" s="107">
        <v>3196716</v>
      </c>
      <c r="P72" s="75">
        <f t="shared" si="56"/>
        <v>2034810</v>
      </c>
    </row>
    <row r="73" spans="1:16" ht="12.75">
      <c r="A73" s="95">
        <v>42916</v>
      </c>
      <c r="B73" s="68">
        <v>4687</v>
      </c>
      <c r="C73" s="68">
        <v>4705</v>
      </c>
      <c r="D73" s="68">
        <v>5245098</v>
      </c>
      <c r="E73" s="29">
        <f t="shared" si="51"/>
        <v>1114.792348565356</v>
      </c>
      <c r="F73" s="29">
        <f aca="true" t="shared" si="57" ref="F73:G75">O73/M73</f>
        <v>1172.812110091743</v>
      </c>
      <c r="G73" s="29">
        <f t="shared" si="57"/>
        <v>1034.9419191919192</v>
      </c>
      <c r="H73" s="68">
        <v>1822</v>
      </c>
      <c r="I73" s="136">
        <f t="shared" si="53"/>
        <v>38.724760892667376</v>
      </c>
      <c r="J73" s="68">
        <v>241254</v>
      </c>
      <c r="K73" s="16"/>
      <c r="L73" s="26">
        <f t="shared" si="54"/>
        <v>5486352</v>
      </c>
      <c r="M73" s="107">
        <v>2725</v>
      </c>
      <c r="N73" s="75">
        <f t="shared" si="55"/>
        <v>1980</v>
      </c>
      <c r="O73" s="107">
        <v>3195913</v>
      </c>
      <c r="P73" s="75">
        <f t="shared" si="56"/>
        <v>2049185</v>
      </c>
    </row>
    <row r="74" spans="1:16" ht="12.75">
      <c r="A74" s="95">
        <v>43008</v>
      </c>
      <c r="B74" s="68">
        <v>4716</v>
      </c>
      <c r="C74" s="68">
        <v>4743</v>
      </c>
      <c r="D74" s="68">
        <v>5253499</v>
      </c>
      <c r="E74" s="29">
        <f t="shared" si="51"/>
        <v>1107.6320893948978</v>
      </c>
      <c r="F74" s="29">
        <f t="shared" si="57"/>
        <v>1159.4972737186479</v>
      </c>
      <c r="G74" s="29">
        <f t="shared" si="57"/>
        <v>1036.0050200803212</v>
      </c>
      <c r="H74" s="68">
        <v>2327</v>
      </c>
      <c r="I74" s="136">
        <f t="shared" si="53"/>
        <v>49.0617752477335</v>
      </c>
      <c r="J74" s="68">
        <v>252016</v>
      </c>
      <c r="K74" s="16"/>
      <c r="L74" s="26">
        <f t="shared" si="54"/>
        <v>5505515</v>
      </c>
      <c r="M74" s="107">
        <v>2751</v>
      </c>
      <c r="N74" s="75">
        <f t="shared" si="55"/>
        <v>1992</v>
      </c>
      <c r="O74" s="107">
        <v>3189777</v>
      </c>
      <c r="P74" s="75">
        <f t="shared" si="56"/>
        <v>2063722</v>
      </c>
    </row>
    <row r="75" spans="1:16" ht="12.75">
      <c r="A75" s="95">
        <v>43100</v>
      </c>
      <c r="B75" s="68">
        <v>4740</v>
      </c>
      <c r="C75" s="68">
        <v>4759</v>
      </c>
      <c r="D75" s="68">
        <v>5263176</v>
      </c>
      <c r="E75" s="29">
        <f>D75/C75</f>
        <v>1105.9415843664635</v>
      </c>
      <c r="F75" s="29">
        <f t="shared" si="57"/>
        <v>1156.1766412767502</v>
      </c>
      <c r="G75" s="29">
        <f t="shared" si="57"/>
        <v>1036.7617382617382</v>
      </c>
      <c r="H75" s="68">
        <v>1720</v>
      </c>
      <c r="I75" s="136">
        <f>H75*100/C75</f>
        <v>36.142046648455555</v>
      </c>
      <c r="J75" s="68">
        <v>238905</v>
      </c>
      <c r="K75" s="16"/>
      <c r="L75" s="26">
        <f>D75+J75</f>
        <v>5502081</v>
      </c>
      <c r="M75" s="107">
        <v>2757</v>
      </c>
      <c r="N75" s="75">
        <f>C75-M75</f>
        <v>2002</v>
      </c>
      <c r="O75" s="107">
        <v>3187579</v>
      </c>
      <c r="P75" s="75">
        <f>D75-O75</f>
        <v>2075597</v>
      </c>
    </row>
    <row r="76" spans="1:16" ht="12.75">
      <c r="A76" s="95">
        <v>43190</v>
      </c>
      <c r="B76" s="68">
        <v>4752</v>
      </c>
      <c r="C76" s="68">
        <v>4779</v>
      </c>
      <c r="D76" s="68">
        <v>5261762</v>
      </c>
      <c r="E76" s="29">
        <f>D76/C76</f>
        <v>1101.017367650136</v>
      </c>
      <c r="F76" s="29">
        <f aca="true" t="shared" si="58" ref="F76:G78">O76/M76</f>
        <v>1152.548656499637</v>
      </c>
      <c r="G76" s="29">
        <f t="shared" si="58"/>
        <v>1030.934814814815</v>
      </c>
      <c r="H76" s="68">
        <v>1593</v>
      </c>
      <c r="I76" s="136">
        <f>H76*100/C76</f>
        <v>33.333333333333336</v>
      </c>
      <c r="J76" s="68">
        <v>237978</v>
      </c>
      <c r="K76" s="16"/>
      <c r="L76" s="26">
        <f>D76+J76</f>
        <v>5499740</v>
      </c>
      <c r="M76" s="107">
        <v>2754</v>
      </c>
      <c r="N76" s="75">
        <f>C76-M76</f>
        <v>2025</v>
      </c>
      <c r="O76" s="107">
        <v>3174119</v>
      </c>
      <c r="P76" s="75">
        <f>D76-O76</f>
        <v>2087643</v>
      </c>
    </row>
    <row r="77" spans="1:16" ht="12.75">
      <c r="A77" s="95">
        <v>43281</v>
      </c>
      <c r="B77" s="68">
        <v>4753</v>
      </c>
      <c r="C77" s="68">
        <v>4779</v>
      </c>
      <c r="D77" s="68">
        <v>5257932</v>
      </c>
      <c r="E77" s="29">
        <f>D77/C77</f>
        <v>1100.2159447583176</v>
      </c>
      <c r="F77" s="29">
        <f t="shared" si="58"/>
        <v>1152.0401020780168</v>
      </c>
      <c r="G77" s="29">
        <f t="shared" si="58"/>
        <v>1030.3958742632612</v>
      </c>
      <c r="H77" s="68">
        <v>1510</v>
      </c>
      <c r="I77" s="136">
        <f>H77*100/C77</f>
        <v>31.59656831973216</v>
      </c>
      <c r="J77" s="68">
        <v>224282</v>
      </c>
      <c r="K77" s="16"/>
      <c r="L77" s="26">
        <f>D77+J77</f>
        <v>5482214</v>
      </c>
      <c r="M77" s="107">
        <v>2743</v>
      </c>
      <c r="N77" s="75">
        <f>C77-M77</f>
        <v>2036</v>
      </c>
      <c r="O77" s="107">
        <v>3160046</v>
      </c>
      <c r="P77" s="75">
        <f>D77-O77</f>
        <v>2097886</v>
      </c>
    </row>
    <row r="78" spans="1:16" ht="12.75">
      <c r="A78" s="95">
        <v>43373</v>
      </c>
      <c r="B78" s="68">
        <v>4773</v>
      </c>
      <c r="C78" s="68">
        <v>4807</v>
      </c>
      <c r="D78" s="68">
        <v>5268639</v>
      </c>
      <c r="E78" s="29">
        <f>D78/C78</f>
        <v>1096.0347410027043</v>
      </c>
      <c r="F78" s="29">
        <f t="shared" si="58"/>
        <v>1151.9813391877058</v>
      </c>
      <c r="G78" s="29">
        <f t="shared" si="58"/>
        <v>1022.311475409836</v>
      </c>
      <c r="H78" s="68">
        <v>1495</v>
      </c>
      <c r="I78" s="136">
        <f>H78*100/C78</f>
        <v>31.10047846889952</v>
      </c>
      <c r="J78" s="68">
        <v>226074</v>
      </c>
      <c r="K78" s="16"/>
      <c r="L78" s="26">
        <f>D78+J78</f>
        <v>5494713</v>
      </c>
      <c r="M78" s="107">
        <v>2733</v>
      </c>
      <c r="N78" s="75">
        <f>C78-M78</f>
        <v>2074</v>
      </c>
      <c r="O78" s="107">
        <v>3148365</v>
      </c>
      <c r="P78" s="75">
        <f>D78-O78</f>
        <v>2120274</v>
      </c>
    </row>
    <row r="79" spans="1:16" ht="12.75">
      <c r="A79" s="95">
        <v>43465</v>
      </c>
      <c r="B79" s="68">
        <v>4787</v>
      </c>
      <c r="C79" s="68">
        <v>4814</v>
      </c>
      <c r="D79" s="68">
        <v>5282320</v>
      </c>
      <c r="E79" s="29">
        <f>D79/C79</f>
        <v>1097.282924802659</v>
      </c>
      <c r="F79" s="29">
        <f>O79/M79</f>
        <v>1152.121557106133</v>
      </c>
      <c r="G79" s="29">
        <f>P79/N79</f>
        <v>1025.8694404591104</v>
      </c>
      <c r="H79" s="68">
        <v>1544</v>
      </c>
      <c r="I79" s="136">
        <f>H79*100/C79</f>
        <v>32.07312006647279</v>
      </c>
      <c r="J79" s="68">
        <v>205884</v>
      </c>
      <c r="K79" s="16"/>
      <c r="L79" s="26">
        <f>D79+J79</f>
        <v>5488204</v>
      </c>
      <c r="M79" s="107">
        <v>2723</v>
      </c>
      <c r="N79" s="75">
        <f>C79-M79</f>
        <v>2091</v>
      </c>
      <c r="O79" s="107">
        <v>3137227</v>
      </c>
      <c r="P79" s="75">
        <f>D79-O79</f>
        <v>2145093</v>
      </c>
    </row>
    <row r="80" spans="1:10" ht="12.75">
      <c r="A80" s="35" t="s">
        <v>55</v>
      </c>
      <c r="B80" s="31"/>
      <c r="C80" s="31"/>
      <c r="D80" s="31"/>
      <c r="E80" s="31"/>
      <c r="F80" s="31"/>
      <c r="G80" s="31"/>
      <c r="H80" s="31"/>
      <c r="I80" s="31"/>
      <c r="J80" s="31"/>
    </row>
    <row r="81" spans="1:10" ht="12.75">
      <c r="A81" t="s">
        <v>140</v>
      </c>
      <c r="B81" s="31"/>
      <c r="C81" s="31"/>
      <c r="D81" s="31"/>
      <c r="E81" s="31"/>
      <c r="F81" s="31"/>
      <c r="G81" s="31"/>
      <c r="H81" s="31"/>
      <c r="I81" s="31"/>
      <c r="J81" s="31"/>
    </row>
    <row r="82" spans="1:10" ht="12.75">
      <c r="A82" s="35" t="s">
        <v>121</v>
      </c>
      <c r="B82" s="31"/>
      <c r="C82" s="31"/>
      <c r="D82" s="31"/>
      <c r="E82" s="31"/>
      <c r="F82" s="31"/>
      <c r="G82" s="31"/>
      <c r="H82" s="31"/>
      <c r="I82" s="31"/>
      <c r="J82" s="31"/>
    </row>
    <row r="83" spans="1:10" ht="12.75">
      <c r="A83" t="s">
        <v>139</v>
      </c>
      <c r="B83" s="31"/>
      <c r="C83" s="31"/>
      <c r="D83" s="31"/>
      <c r="E83" s="31"/>
      <c r="F83" s="31"/>
      <c r="G83" s="31"/>
      <c r="H83" s="31"/>
      <c r="I83" s="31"/>
      <c r="J83" s="31"/>
    </row>
    <row r="84" spans="1:10" ht="12.75">
      <c r="A84" s="35" t="s">
        <v>127</v>
      </c>
      <c r="B84" s="31"/>
      <c r="C84" s="31"/>
      <c r="D84" s="31"/>
      <c r="E84" s="31"/>
      <c r="F84" s="31"/>
      <c r="G84" s="31"/>
      <c r="H84" s="31"/>
      <c r="I84" s="31"/>
      <c r="J84" s="31"/>
    </row>
    <row r="85" ht="12.75">
      <c r="H85" s="26"/>
    </row>
    <row r="86" ht="12.75">
      <c r="H86" s="26"/>
    </row>
    <row r="88" ht="12.75">
      <c r="A88"/>
    </row>
    <row r="89" spans="1:6" ht="12.75">
      <c r="A89" s="32"/>
      <c r="D89" s="23"/>
      <c r="E89" s="23"/>
      <c r="F89" s="26"/>
    </row>
    <row r="90" spans="1:6" ht="12.75">
      <c r="A90" s="26"/>
      <c r="D90" s="23"/>
      <c r="E90" s="23"/>
      <c r="F90" s="23"/>
    </row>
    <row r="91" spans="1:6" ht="12.75">
      <c r="A91" s="34"/>
      <c r="D91" s="29"/>
      <c r="E91" s="29"/>
      <c r="F91" s="30"/>
    </row>
    <row r="92" spans="1:6" ht="12.75">
      <c r="A92" s="34"/>
      <c r="D92" s="29"/>
      <c r="E92" s="29"/>
      <c r="F92" s="30"/>
    </row>
    <row r="93" spans="1:6" ht="12.75">
      <c r="A93" s="34"/>
      <c r="D93" s="29"/>
      <c r="E93" s="29"/>
      <c r="F93" s="30"/>
    </row>
    <row r="94" ht="12.75">
      <c r="A94" s="25"/>
    </row>
    <row r="95" ht="12.75">
      <c r="A95" s="28"/>
    </row>
  </sheetData>
  <sheetProtection/>
  <mergeCells count="2">
    <mergeCell ref="E2:G2"/>
    <mergeCell ref="E3:G3"/>
  </mergeCells>
  <printOptions gridLines="1"/>
  <pageMargins left="0.75" right="0.75" top="1" bottom="1" header="0.5" footer="0.5"/>
  <pageSetup horizontalDpi="600" verticalDpi="600" orientation="landscape" paperSize="9" scale="84" r:id="rId1"/>
  <colBreaks count="1" manualBreakCount="1">
    <brk id="10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83"/>
  <sheetViews>
    <sheetView zoomScalePageLayoutView="0" workbookViewId="0" topLeftCell="A1">
      <pane ySplit="5" topLeftCell="A36" activePane="bottomLeft" state="frozen"/>
      <selection pane="topLeft" activeCell="A1" sqref="A1"/>
      <selection pane="bottomLeft" activeCell="A79" sqref="A79:E79"/>
    </sheetView>
  </sheetViews>
  <sheetFormatPr defaultColWidth="11.421875" defaultRowHeight="12.75"/>
  <cols>
    <col min="1" max="1" width="12.421875" style="0" customWidth="1"/>
    <col min="2" max="3" width="8.7109375" style="0" customWidth="1"/>
    <col min="4" max="4" width="11.7109375" style="0" customWidth="1"/>
    <col min="5" max="5" width="15.7109375" style="0" customWidth="1"/>
  </cols>
  <sheetData>
    <row r="1" ht="12.75">
      <c r="A1" s="27" t="s">
        <v>408</v>
      </c>
    </row>
    <row r="2" spans="1:5" s="21" customFormat="1" ht="12.75">
      <c r="A2" s="33"/>
      <c r="B2" s="13" t="s">
        <v>24</v>
      </c>
      <c r="C2" s="13" t="s">
        <v>161</v>
      </c>
      <c r="D2" s="13" t="s">
        <v>24</v>
      </c>
      <c r="E2" s="13" t="s">
        <v>57</v>
      </c>
    </row>
    <row r="3" spans="1:5" ht="12.75">
      <c r="A3" s="33"/>
      <c r="B3" s="13" t="s">
        <v>26</v>
      </c>
      <c r="C3" s="13" t="s">
        <v>26</v>
      </c>
      <c r="D3" s="13" t="s">
        <v>60</v>
      </c>
      <c r="E3" s="13" t="s">
        <v>58</v>
      </c>
    </row>
    <row r="4" spans="1:5" ht="12.75">
      <c r="A4" s="33"/>
      <c r="B4" s="11" t="s">
        <v>68</v>
      </c>
      <c r="C4" s="11" t="s">
        <v>68</v>
      </c>
      <c r="D4" s="13" t="s">
        <v>59</v>
      </c>
      <c r="E4" s="37" t="s">
        <v>59</v>
      </c>
    </row>
    <row r="5" spans="1:5" ht="12.75">
      <c r="A5" s="100"/>
      <c r="B5" s="129" t="s">
        <v>409</v>
      </c>
      <c r="C5" s="129" t="s">
        <v>409</v>
      </c>
      <c r="D5" s="12" t="s">
        <v>410</v>
      </c>
      <c r="E5" s="101" t="s">
        <v>410</v>
      </c>
    </row>
    <row r="6" spans="1:5" ht="14.25">
      <c r="A6" s="38" t="s">
        <v>53</v>
      </c>
      <c r="B6" s="40">
        <v>349</v>
      </c>
      <c r="C6" s="114">
        <f>B6*100/'Tabell 4'!B6</f>
        <v>9.041450777202073</v>
      </c>
      <c r="D6" s="42" t="s">
        <v>118</v>
      </c>
      <c r="E6" s="36" t="s">
        <v>118</v>
      </c>
    </row>
    <row r="7" spans="1:5" ht="14.25">
      <c r="A7" s="38" t="s">
        <v>119</v>
      </c>
      <c r="B7" s="40">
        <v>297</v>
      </c>
      <c r="C7" s="114">
        <f>B7*100/'Tabell 4'!B7</f>
        <v>7.698289269051322</v>
      </c>
      <c r="D7" s="42" t="s">
        <v>118</v>
      </c>
      <c r="E7" s="36" t="s">
        <v>118</v>
      </c>
    </row>
    <row r="8" spans="1:5" ht="14.25">
      <c r="A8" s="38" t="s">
        <v>120</v>
      </c>
      <c r="B8" s="40">
        <v>297</v>
      </c>
      <c r="C8" s="114">
        <f>B8*100/'Tabell 4'!B8</f>
        <v>7.698289269051322</v>
      </c>
      <c r="D8" s="40">
        <v>265721</v>
      </c>
      <c r="E8" s="26">
        <f aca="true" t="shared" si="0" ref="E8:E17">D8/B8</f>
        <v>894.6835016835017</v>
      </c>
    </row>
    <row r="9" spans="1:5" ht="12.75">
      <c r="A9" s="38">
        <v>37072</v>
      </c>
      <c r="B9" s="40">
        <v>277</v>
      </c>
      <c r="C9" s="114">
        <f>B9*100/'Tabell 4'!B9</f>
        <v>7.1098562628336754</v>
      </c>
      <c r="D9" s="40">
        <v>200705</v>
      </c>
      <c r="E9" s="26">
        <f t="shared" si="0"/>
        <v>724.5667870036101</v>
      </c>
    </row>
    <row r="10" spans="1:5" ht="12.75">
      <c r="A10" s="38">
        <v>37164</v>
      </c>
      <c r="B10" s="40">
        <v>206</v>
      </c>
      <c r="C10" s="114">
        <f>B10*100/'Tabell 4'!B10</f>
        <v>5.314757481940145</v>
      </c>
      <c r="D10" s="40">
        <v>133814</v>
      </c>
      <c r="E10" s="26">
        <f t="shared" si="0"/>
        <v>649.5825242718447</v>
      </c>
    </row>
    <row r="11" spans="1:5" ht="12.75">
      <c r="A11" s="38">
        <v>37256</v>
      </c>
      <c r="B11" s="40">
        <v>164</v>
      </c>
      <c r="C11" s="114">
        <f>B11*100/'Tabell 4'!B11</f>
        <v>4.252009333679025</v>
      </c>
      <c r="D11" s="40">
        <v>108502</v>
      </c>
      <c r="E11" s="26">
        <f t="shared" si="0"/>
        <v>661.5975609756098</v>
      </c>
    </row>
    <row r="12" spans="1:5" ht="12.75">
      <c r="A12" s="38">
        <v>37346</v>
      </c>
      <c r="B12" s="40">
        <v>134</v>
      </c>
      <c r="C12" s="114">
        <f>B12*100/'Tabell 4'!B12</f>
        <v>3.476005188067445</v>
      </c>
      <c r="D12" s="40">
        <v>85376</v>
      </c>
      <c r="E12" s="26">
        <f t="shared" si="0"/>
        <v>637.1343283582089</v>
      </c>
    </row>
    <row r="13" spans="1:5" ht="12.75">
      <c r="A13" s="69">
        <v>37437</v>
      </c>
      <c r="B13" s="68">
        <v>133</v>
      </c>
      <c r="C13" s="114">
        <f>B13*100/'Tabell 4'!B13</f>
        <v>3.4527518172377984</v>
      </c>
      <c r="D13" s="68">
        <v>85807</v>
      </c>
      <c r="E13" s="30">
        <f t="shared" si="0"/>
        <v>645.1654135338346</v>
      </c>
    </row>
    <row r="14" spans="1:5" ht="12.75">
      <c r="A14" s="95">
        <v>37529</v>
      </c>
      <c r="B14" s="68">
        <v>120</v>
      </c>
      <c r="C14" s="114">
        <f>B14*100/'Tabell 4'!B14</f>
        <v>3.116883116883117</v>
      </c>
      <c r="D14" s="68">
        <v>78825</v>
      </c>
      <c r="E14" s="30">
        <f t="shared" si="0"/>
        <v>656.875</v>
      </c>
    </row>
    <row r="15" spans="1:5" s="16" customFormat="1" ht="12.75">
      <c r="A15" s="95">
        <v>37621</v>
      </c>
      <c r="B15" s="68">
        <v>127</v>
      </c>
      <c r="C15" s="114">
        <f>B15*100/'Tabell 4'!B15</f>
        <v>3.2944228274967573</v>
      </c>
      <c r="D15" s="68">
        <v>79563</v>
      </c>
      <c r="E15" s="30">
        <f t="shared" si="0"/>
        <v>626.4803149606299</v>
      </c>
    </row>
    <row r="16" spans="1:5" ht="12.75">
      <c r="A16" s="95">
        <v>37711</v>
      </c>
      <c r="B16" s="68">
        <v>118</v>
      </c>
      <c r="C16" s="114">
        <f>B16*100/'Tabell 4'!B16</f>
        <v>3.064935064935065</v>
      </c>
      <c r="D16" s="68">
        <v>73949</v>
      </c>
      <c r="E16" s="30">
        <f t="shared" si="0"/>
        <v>626.6864406779661</v>
      </c>
    </row>
    <row r="17" spans="1:5" ht="12.75">
      <c r="A17" s="95">
        <v>37802</v>
      </c>
      <c r="B17" s="68">
        <v>122</v>
      </c>
      <c r="C17" s="114">
        <f>B17*100/'Tabell 4'!B17</f>
        <v>3.1704781704781704</v>
      </c>
      <c r="D17" s="68">
        <v>78100</v>
      </c>
      <c r="E17" s="30">
        <f t="shared" si="0"/>
        <v>640.1639344262295</v>
      </c>
    </row>
    <row r="18" spans="1:5" ht="12.75">
      <c r="A18" s="95">
        <v>37894</v>
      </c>
      <c r="B18" s="68">
        <v>119</v>
      </c>
      <c r="C18" s="114">
        <f>B18*100/'Tabell 4'!B18</f>
        <v>3.088502465611212</v>
      </c>
      <c r="D18" s="68">
        <v>80666</v>
      </c>
      <c r="E18" s="30">
        <f aca="true" t="shared" si="1" ref="E18:E23">D18/B18</f>
        <v>677.8655462184873</v>
      </c>
    </row>
    <row r="19" spans="1:5" ht="12.75">
      <c r="A19" s="95">
        <v>37986</v>
      </c>
      <c r="B19" s="68">
        <v>110</v>
      </c>
      <c r="C19" s="114">
        <f>B19*100/'Tabell 4'!B19</f>
        <v>2.8593709383935533</v>
      </c>
      <c r="D19" s="68">
        <v>67649</v>
      </c>
      <c r="E19" s="30">
        <f t="shared" si="1"/>
        <v>614.9909090909091</v>
      </c>
    </row>
    <row r="20" spans="1:5" ht="12.75">
      <c r="A20" s="95">
        <v>38077</v>
      </c>
      <c r="B20" s="68">
        <v>100</v>
      </c>
      <c r="C20" s="114">
        <f>B20*100/'Tabell 4'!B20</f>
        <v>2.599428125812321</v>
      </c>
      <c r="D20" s="68">
        <v>62197</v>
      </c>
      <c r="E20" s="30">
        <f t="shared" si="1"/>
        <v>621.97</v>
      </c>
    </row>
    <row r="21" spans="1:5" ht="12.75">
      <c r="A21" s="95">
        <v>38168</v>
      </c>
      <c r="B21" s="68">
        <v>104</v>
      </c>
      <c r="C21" s="114">
        <f>B21*100/'Tabell 4'!B21</f>
        <v>2.6922081283976182</v>
      </c>
      <c r="D21" s="68">
        <v>65547</v>
      </c>
      <c r="E21" s="30">
        <f t="shared" si="1"/>
        <v>630.2596153846154</v>
      </c>
    </row>
    <row r="22" spans="1:5" ht="12.75">
      <c r="A22" s="95">
        <v>38260</v>
      </c>
      <c r="B22" s="68">
        <v>103</v>
      </c>
      <c r="C22" s="114">
        <f>B22*100/'Tabell 4'!B22</f>
        <v>2.661498708010336</v>
      </c>
      <c r="D22" s="68">
        <v>69628</v>
      </c>
      <c r="E22" s="30">
        <f t="shared" si="1"/>
        <v>676</v>
      </c>
    </row>
    <row r="23" spans="1:5" ht="12.75">
      <c r="A23" s="95">
        <v>38352</v>
      </c>
      <c r="B23" s="68">
        <v>99</v>
      </c>
      <c r="C23" s="114">
        <f>B23*100/'Tabell 4'!B23</f>
        <v>2.5535207634769153</v>
      </c>
      <c r="D23" s="68">
        <v>65432</v>
      </c>
      <c r="E23" s="30">
        <f t="shared" si="1"/>
        <v>660.929292929293</v>
      </c>
    </row>
    <row r="24" spans="1:5" ht="12.75">
      <c r="A24" s="95">
        <v>38442</v>
      </c>
      <c r="B24" s="68">
        <v>91</v>
      </c>
      <c r="C24" s="114">
        <f>B24*100/'Tabell 4'!B24</f>
        <v>2.347781217750258</v>
      </c>
      <c r="D24" s="68">
        <v>62356</v>
      </c>
      <c r="E24" s="30">
        <f aca="true" t="shared" si="2" ref="E24:E29">D24/B24</f>
        <v>685.2307692307693</v>
      </c>
    </row>
    <row r="25" spans="1:5" ht="12.75">
      <c r="A25" s="95">
        <v>38533</v>
      </c>
      <c r="B25" s="68">
        <v>89</v>
      </c>
      <c r="C25" s="114">
        <f>B25*100/'Tabell 4'!B25</f>
        <v>2.2926326635754766</v>
      </c>
      <c r="D25" s="68">
        <v>62136</v>
      </c>
      <c r="E25" s="30">
        <f t="shared" si="2"/>
        <v>698.1573033707865</v>
      </c>
    </row>
    <row r="26" spans="1:5" ht="12.75">
      <c r="A26" s="95">
        <v>38625</v>
      </c>
      <c r="B26" s="68">
        <v>103</v>
      </c>
      <c r="C26" s="114">
        <f>B26*100/'Tabell 4'!B26</f>
        <v>2.646454265159301</v>
      </c>
      <c r="D26" s="68">
        <v>70653</v>
      </c>
      <c r="E26" s="30">
        <f t="shared" si="2"/>
        <v>685.9514563106796</v>
      </c>
    </row>
    <row r="27" spans="1:5" ht="12.75">
      <c r="A27" s="95">
        <v>38717</v>
      </c>
      <c r="B27" s="68">
        <v>111</v>
      </c>
      <c r="C27" s="114">
        <f>B27*100/'Tabell 4'!B27</f>
        <v>2.851271512972001</v>
      </c>
      <c r="D27" s="68">
        <v>74530</v>
      </c>
      <c r="E27" s="30">
        <f t="shared" si="2"/>
        <v>671.4414414414415</v>
      </c>
    </row>
    <row r="28" spans="1:5" ht="12.75">
      <c r="A28" s="95">
        <v>38807</v>
      </c>
      <c r="B28" s="68">
        <v>93</v>
      </c>
      <c r="C28" s="114">
        <f>B28*100/'Tabell 4'!B28</f>
        <v>2.3797338792221083</v>
      </c>
      <c r="D28" s="68">
        <v>60188</v>
      </c>
      <c r="E28" s="30">
        <f t="shared" si="2"/>
        <v>647.1827956989247</v>
      </c>
    </row>
    <row r="29" spans="1:5" ht="12.75">
      <c r="A29" s="95">
        <v>38898</v>
      </c>
      <c r="B29" s="68">
        <v>88</v>
      </c>
      <c r="C29" s="114">
        <f>B29*100/'Tabell 4'!B29</f>
        <v>2.2466173091651775</v>
      </c>
      <c r="D29" s="68">
        <v>57895</v>
      </c>
      <c r="E29" s="30">
        <f t="shared" si="2"/>
        <v>657.8977272727273</v>
      </c>
    </row>
    <row r="30" spans="1:5" ht="12.75">
      <c r="A30" s="95">
        <v>38990</v>
      </c>
      <c r="B30" s="68">
        <v>81</v>
      </c>
      <c r="C30" s="114">
        <f>B30*100/'Tabell 4'!B30</f>
        <v>2.0626432391138274</v>
      </c>
      <c r="D30" s="68">
        <v>52822</v>
      </c>
      <c r="E30" s="30">
        <f aca="true" t="shared" si="3" ref="E30:E35">D30/B30</f>
        <v>652.1234567901234</v>
      </c>
    </row>
    <row r="31" spans="1:5" ht="12.75">
      <c r="A31" s="95">
        <v>39082</v>
      </c>
      <c r="B31" s="68">
        <v>80</v>
      </c>
      <c r="C31" s="114">
        <f>B31*100/'Tabell 4'!B31</f>
        <v>2.030456852791878</v>
      </c>
      <c r="D31" s="68">
        <v>50493</v>
      </c>
      <c r="E31" s="30">
        <f t="shared" si="3"/>
        <v>631.1625</v>
      </c>
    </row>
    <row r="32" spans="1:5" ht="12.75">
      <c r="A32" s="95">
        <v>39172</v>
      </c>
      <c r="B32" s="68">
        <v>86</v>
      </c>
      <c r="C32" s="114">
        <f>B32*100/'Tabell 4'!B32</f>
        <v>2.1755628636478623</v>
      </c>
      <c r="D32" s="68">
        <v>54990</v>
      </c>
      <c r="E32" s="30">
        <f t="shared" si="3"/>
        <v>639.4186046511628</v>
      </c>
    </row>
    <row r="33" spans="1:5" ht="12.75">
      <c r="A33" s="95">
        <v>39263</v>
      </c>
      <c r="B33" s="68">
        <v>80</v>
      </c>
      <c r="C33" s="114">
        <f>B33*100/'Tabell 4'!B33</f>
        <v>2.0202020202020203</v>
      </c>
      <c r="D33" s="68">
        <v>49902</v>
      </c>
      <c r="E33" s="30">
        <f t="shared" si="3"/>
        <v>623.775</v>
      </c>
    </row>
    <row r="34" spans="1:5" ht="12.75">
      <c r="A34" s="95">
        <v>39355</v>
      </c>
      <c r="B34" s="68">
        <v>86</v>
      </c>
      <c r="C34" s="114">
        <f>B34*100/'Tabell 4'!B34</f>
        <v>2.1635220125786163</v>
      </c>
      <c r="D34" s="68">
        <v>55897</v>
      </c>
      <c r="E34" s="30">
        <f t="shared" si="3"/>
        <v>649.9651162790698</v>
      </c>
    </row>
    <row r="35" spans="1:5" ht="12.75">
      <c r="A35" s="95">
        <v>39447</v>
      </c>
      <c r="B35" s="68">
        <v>84</v>
      </c>
      <c r="C35" s="114">
        <f>B35*100/'Tabell 4'!B35</f>
        <v>2.103681442524418</v>
      </c>
      <c r="D35" s="68">
        <v>54087</v>
      </c>
      <c r="E35" s="30">
        <f t="shared" si="3"/>
        <v>643.8928571428571</v>
      </c>
    </row>
    <row r="36" spans="1:5" ht="12.75">
      <c r="A36" s="95">
        <v>39538</v>
      </c>
      <c r="B36" s="68">
        <v>75</v>
      </c>
      <c r="C36" s="114">
        <f>B36*100/'Tabell 4'!B36</f>
        <v>1.8693918245264207</v>
      </c>
      <c r="D36" s="68">
        <v>47709</v>
      </c>
      <c r="E36" s="30">
        <f aca="true" t="shared" si="4" ref="E36:E48">D36/B36</f>
        <v>636.12</v>
      </c>
    </row>
    <row r="37" spans="1:5" ht="12.75">
      <c r="A37" s="95">
        <v>39629</v>
      </c>
      <c r="B37" s="68">
        <v>76</v>
      </c>
      <c r="C37" s="114">
        <f>B37*100/'Tabell 4'!B37</f>
        <v>1.8881987577639752</v>
      </c>
      <c r="D37" s="68">
        <v>43832</v>
      </c>
      <c r="E37" s="30">
        <f t="shared" si="4"/>
        <v>576.7368421052631</v>
      </c>
    </row>
    <row r="38" spans="1:5" ht="12.75">
      <c r="A38" s="95">
        <v>39721</v>
      </c>
      <c r="B38" s="68">
        <v>75</v>
      </c>
      <c r="C38" s="114">
        <f>B38*100/'Tabell 4'!B38</f>
        <v>1.8559762435040832</v>
      </c>
      <c r="D38" s="68">
        <v>41116</v>
      </c>
      <c r="E38" s="30">
        <f t="shared" si="4"/>
        <v>548.2133333333334</v>
      </c>
    </row>
    <row r="39" spans="1:5" ht="12.75">
      <c r="A39" s="95">
        <v>39813</v>
      </c>
      <c r="B39" s="68">
        <v>85</v>
      </c>
      <c r="C39" s="114">
        <f>B39*100/'Tabell 4'!B39</f>
        <v>2.089478859390364</v>
      </c>
      <c r="D39" s="68">
        <v>48493</v>
      </c>
      <c r="E39" s="30">
        <f t="shared" si="4"/>
        <v>570.5058823529412</v>
      </c>
    </row>
    <row r="40" spans="1:5" ht="12.75">
      <c r="A40" s="95">
        <v>39903</v>
      </c>
      <c r="B40" s="68">
        <v>78</v>
      </c>
      <c r="C40" s="114">
        <f>B40*100/'Tabell 4'!B40</f>
        <v>1.910828025477707</v>
      </c>
      <c r="D40" s="68">
        <v>45106</v>
      </c>
      <c r="E40" s="30">
        <f t="shared" si="4"/>
        <v>578.2820512820513</v>
      </c>
    </row>
    <row r="41" spans="1:5" ht="12.75">
      <c r="A41" s="95">
        <v>39994</v>
      </c>
      <c r="B41" s="68">
        <v>71</v>
      </c>
      <c r="C41" s="114">
        <f>B41*100/'Tabell 4'!B41</f>
        <v>1.7325524646168864</v>
      </c>
      <c r="D41" s="68">
        <v>40253</v>
      </c>
      <c r="E41" s="30">
        <f t="shared" si="4"/>
        <v>566.943661971831</v>
      </c>
    </row>
    <row r="42" spans="1:5" ht="12.75">
      <c r="A42" s="95">
        <v>40086</v>
      </c>
      <c r="B42" s="68">
        <v>72</v>
      </c>
      <c r="C42" s="114">
        <f>B42*100/'Tabell 4'!B42</f>
        <v>1.7467248908296944</v>
      </c>
      <c r="D42" s="68">
        <v>44638</v>
      </c>
      <c r="E42" s="30">
        <f t="shared" si="4"/>
        <v>619.9722222222222</v>
      </c>
    </row>
    <row r="43" spans="1:5" ht="12.75">
      <c r="A43" s="95">
        <v>40178</v>
      </c>
      <c r="B43" s="68">
        <v>69</v>
      </c>
      <c r="C43" s="114">
        <f>B43*100/'Tabell 4'!B43</f>
        <v>1.6694894749576579</v>
      </c>
      <c r="D43" s="68">
        <v>46391</v>
      </c>
      <c r="E43" s="30">
        <f t="shared" si="4"/>
        <v>672.3333333333334</v>
      </c>
    </row>
    <row r="44" spans="1:5" ht="12.75">
      <c r="A44" s="95">
        <v>40268</v>
      </c>
      <c r="B44" s="68">
        <v>72</v>
      </c>
      <c r="C44" s="114">
        <f>B44*100/'Tabell 4'!B44</f>
        <v>1.7316017316017316</v>
      </c>
      <c r="D44" s="68">
        <v>46397</v>
      </c>
      <c r="E44" s="30">
        <f t="shared" si="4"/>
        <v>644.4027777777778</v>
      </c>
    </row>
    <row r="45" spans="1:5" ht="12.75">
      <c r="A45" s="95">
        <v>40359</v>
      </c>
      <c r="B45" s="68">
        <v>64</v>
      </c>
      <c r="C45" s="114">
        <f>B45*100/'Tabell 4'!B45</f>
        <v>1.534404219611604</v>
      </c>
      <c r="D45" s="68">
        <v>41780</v>
      </c>
      <c r="E45" s="30">
        <f t="shared" si="4"/>
        <v>652.8125</v>
      </c>
    </row>
    <row r="46" spans="1:5" ht="12.75">
      <c r="A46" s="95">
        <v>40451</v>
      </c>
      <c r="B46" s="68">
        <v>70</v>
      </c>
      <c r="C46" s="114">
        <f>B46*100/'Tabell 4'!B46</f>
        <v>1.6678579938050988</v>
      </c>
      <c r="D46" s="68">
        <v>47191</v>
      </c>
      <c r="E46" s="30">
        <f t="shared" si="4"/>
        <v>674.1571428571428</v>
      </c>
    </row>
    <row r="47" spans="1:5" ht="12.75">
      <c r="A47" s="95">
        <v>40543</v>
      </c>
      <c r="B47" s="68">
        <v>76</v>
      </c>
      <c r="C47" s="114">
        <f>B47*100/'Tabell 4'!B47</f>
        <v>1.807372175980975</v>
      </c>
      <c r="D47" s="68">
        <v>50924</v>
      </c>
      <c r="E47" s="30">
        <f t="shared" si="4"/>
        <v>670.0526315789474</v>
      </c>
    </row>
    <row r="48" spans="1:5" ht="12.75">
      <c r="A48" s="95">
        <v>40633</v>
      </c>
      <c r="B48" s="68">
        <v>68</v>
      </c>
      <c r="C48" s="114">
        <f>B48*100/'Tabell 4'!B48</f>
        <v>1.6087059380175066</v>
      </c>
      <c r="D48" s="68">
        <v>47998</v>
      </c>
      <c r="E48" s="30">
        <f t="shared" si="4"/>
        <v>705.8529411764706</v>
      </c>
    </row>
    <row r="49" spans="1:5" ht="12.75">
      <c r="A49" s="95">
        <v>40724</v>
      </c>
      <c r="B49" s="68">
        <v>59</v>
      </c>
      <c r="C49" s="114">
        <f>B49*100/'Tabell 4'!B49</f>
        <v>1.3898704358068317</v>
      </c>
      <c r="D49" s="68">
        <v>39782</v>
      </c>
      <c r="E49" s="30">
        <f aca="true" t="shared" si="5" ref="E49:E55">D49/B49</f>
        <v>674.271186440678</v>
      </c>
    </row>
    <row r="50" spans="1:5" ht="12.75">
      <c r="A50" s="95">
        <v>40816</v>
      </c>
      <c r="B50" s="68">
        <v>61</v>
      </c>
      <c r="C50" s="114">
        <f>B50*100/'Tabell 4'!B50</f>
        <v>1.4322610941535572</v>
      </c>
      <c r="D50" s="68">
        <v>40578</v>
      </c>
      <c r="E50" s="30">
        <f t="shared" si="5"/>
        <v>665.2131147540983</v>
      </c>
    </row>
    <row r="51" spans="1:5" ht="12.75">
      <c r="A51" s="95">
        <v>40908</v>
      </c>
      <c r="B51" s="68">
        <v>60</v>
      </c>
      <c r="C51" s="114">
        <f>B51*100/'Tabell 4'!B51</f>
        <v>1.404494382022472</v>
      </c>
      <c r="D51" s="68">
        <v>41834</v>
      </c>
      <c r="E51" s="30">
        <f t="shared" si="5"/>
        <v>697.2333333333333</v>
      </c>
    </row>
    <row r="52" spans="1:5" ht="12.75">
      <c r="A52" s="95">
        <v>40999</v>
      </c>
      <c r="B52" s="68">
        <v>57</v>
      </c>
      <c r="C52" s="114">
        <f>B52*100/'Tabell 4'!B52</f>
        <v>1.3249651324965133</v>
      </c>
      <c r="D52" s="68">
        <v>37133</v>
      </c>
      <c r="E52" s="30">
        <f t="shared" si="5"/>
        <v>651.4561403508771</v>
      </c>
    </row>
    <row r="53" spans="1:5" ht="12.75">
      <c r="A53" s="95">
        <v>41090</v>
      </c>
      <c r="B53" s="68">
        <v>50</v>
      </c>
      <c r="C53" s="114">
        <f>B53*100/'Tabell 4'!B53</f>
        <v>1.1582117211026175</v>
      </c>
      <c r="D53" s="68">
        <v>31621</v>
      </c>
      <c r="E53" s="30">
        <f t="shared" si="5"/>
        <v>632.42</v>
      </c>
    </row>
    <row r="54" spans="1:5" ht="12.75">
      <c r="A54" s="95">
        <v>41182</v>
      </c>
      <c r="B54" s="68">
        <v>61</v>
      </c>
      <c r="C54" s="114">
        <f>B54*100/'Tabell 4'!B54</f>
        <v>1.4039125431530495</v>
      </c>
      <c r="D54" s="68">
        <v>35968</v>
      </c>
      <c r="E54" s="30">
        <f t="shared" si="5"/>
        <v>589.639344262295</v>
      </c>
    </row>
    <row r="55" spans="1:5" ht="12.75">
      <c r="A55" s="95">
        <v>41274</v>
      </c>
      <c r="B55" s="68">
        <v>71</v>
      </c>
      <c r="C55" s="114">
        <f>B55*100/'Tabell 4'!B55</f>
        <v>1.6247139588100687</v>
      </c>
      <c r="D55" s="68">
        <v>42811</v>
      </c>
      <c r="E55" s="30">
        <f t="shared" si="5"/>
        <v>602.9718309859155</v>
      </c>
    </row>
    <row r="56" spans="1:5" ht="12.75">
      <c r="A56" s="95">
        <v>41364</v>
      </c>
      <c r="B56" s="68">
        <v>72</v>
      </c>
      <c r="C56" s="114">
        <f>B56*100/'Tabell 4'!B56</f>
        <v>1.6419612314709235</v>
      </c>
      <c r="D56" s="68">
        <v>42432</v>
      </c>
      <c r="E56" s="30">
        <f aca="true" t="shared" si="6" ref="E56:E61">D56/B56</f>
        <v>589.3333333333334</v>
      </c>
    </row>
    <row r="57" spans="1:5" ht="12.75">
      <c r="A57" s="95">
        <v>41455</v>
      </c>
      <c r="B57" s="68">
        <v>72</v>
      </c>
      <c r="C57" s="114">
        <f>B57*100/'Tabell 4'!B57</f>
        <v>1.633393829401089</v>
      </c>
      <c r="D57" s="68">
        <v>39277</v>
      </c>
      <c r="E57" s="30">
        <f t="shared" si="6"/>
        <v>545.5138888888889</v>
      </c>
    </row>
    <row r="58" spans="1:5" ht="12.75">
      <c r="A58" s="95">
        <v>41547</v>
      </c>
      <c r="B58" s="68">
        <v>66</v>
      </c>
      <c r="C58" s="114">
        <f>B58*100/'Tabell 4'!B58</f>
        <v>1.4821468672804852</v>
      </c>
      <c r="D58" s="68">
        <v>38223</v>
      </c>
      <c r="E58" s="30">
        <f t="shared" si="6"/>
        <v>579.1363636363636</v>
      </c>
    </row>
    <row r="59" spans="1:5" ht="12.75">
      <c r="A59" s="95">
        <v>41639</v>
      </c>
      <c r="B59" s="68">
        <v>67</v>
      </c>
      <c r="C59" s="114">
        <f>B59*100/'Tabell 4'!B59</f>
        <v>1.4975413500223513</v>
      </c>
      <c r="D59" s="68">
        <v>40577</v>
      </c>
      <c r="E59" s="30">
        <f t="shared" si="6"/>
        <v>605.6268656716418</v>
      </c>
    </row>
    <row r="60" spans="1:5" ht="12.75">
      <c r="A60" s="95">
        <v>41729</v>
      </c>
      <c r="B60" s="68">
        <v>67</v>
      </c>
      <c r="C60" s="114">
        <f>B60*100/'Tabell 4'!B60</f>
        <v>1.4836138175376439</v>
      </c>
      <c r="D60" s="68">
        <v>38298</v>
      </c>
      <c r="E60" s="30">
        <f t="shared" si="6"/>
        <v>571.6119402985074</v>
      </c>
    </row>
    <row r="61" spans="1:5" ht="12.75">
      <c r="A61" s="95">
        <v>41820</v>
      </c>
      <c r="B61" s="68">
        <v>58</v>
      </c>
      <c r="C61" s="114">
        <f>B61*100/'Tabell 4'!B61</f>
        <v>1.2744451768842013</v>
      </c>
      <c r="D61" s="68">
        <v>36606</v>
      </c>
      <c r="E61" s="30">
        <f t="shared" si="6"/>
        <v>631.1379310344828</v>
      </c>
    </row>
    <row r="62" spans="1:5" ht="12.75">
      <c r="A62" s="95">
        <v>41912</v>
      </c>
      <c r="B62" s="68">
        <v>63</v>
      </c>
      <c r="C62" s="114">
        <f>B62*100/'Tabell 4'!B62</f>
        <v>1.3767482517482517</v>
      </c>
      <c r="D62" s="68">
        <v>40088</v>
      </c>
      <c r="E62" s="30">
        <f aca="true" t="shared" si="7" ref="E62:E67">D62/B62</f>
        <v>636.3174603174604</v>
      </c>
    </row>
    <row r="63" spans="1:5" ht="12.75">
      <c r="A63" s="95">
        <v>42004</v>
      </c>
      <c r="B63" s="68">
        <v>67</v>
      </c>
      <c r="C63" s="114">
        <f>B63*100/'Tabell 4'!B63</f>
        <v>1.457155284906481</v>
      </c>
      <c r="D63" s="68">
        <v>41296</v>
      </c>
      <c r="E63" s="30">
        <f t="shared" si="7"/>
        <v>616.3582089552239</v>
      </c>
    </row>
    <row r="64" spans="1:5" ht="12.75">
      <c r="A64" s="95">
        <v>42094</v>
      </c>
      <c r="B64" s="68">
        <v>67</v>
      </c>
      <c r="C64" s="114">
        <f>B64*100/'Tabell 4'!B64</f>
        <v>1.4502164502164503</v>
      </c>
      <c r="D64" s="68">
        <v>38961</v>
      </c>
      <c r="E64" s="30">
        <f t="shared" si="7"/>
        <v>581.5074626865671</v>
      </c>
    </row>
    <row r="65" spans="1:5" ht="12.75">
      <c r="A65" s="95">
        <v>42185</v>
      </c>
      <c r="B65" s="68">
        <v>57</v>
      </c>
      <c r="C65" s="114">
        <f>B65*100/'Tabell 4'!B65</f>
        <v>1.229243045072245</v>
      </c>
      <c r="D65" s="68">
        <v>32958</v>
      </c>
      <c r="E65" s="30">
        <f t="shared" si="7"/>
        <v>578.2105263157895</v>
      </c>
    </row>
    <row r="66" spans="1:5" ht="12.75">
      <c r="A66" s="95">
        <v>42277</v>
      </c>
      <c r="B66" s="68">
        <v>55</v>
      </c>
      <c r="C66" s="114">
        <f>B66*100/'Tabell 4'!B66</f>
        <v>1.1843238587424634</v>
      </c>
      <c r="D66" s="68">
        <v>31610</v>
      </c>
      <c r="E66" s="30">
        <f t="shared" si="7"/>
        <v>574.7272727272727</v>
      </c>
    </row>
    <row r="67" spans="1:5" ht="12.75">
      <c r="A67" s="95">
        <v>42369</v>
      </c>
      <c r="B67" s="68">
        <v>52</v>
      </c>
      <c r="C67" s="114">
        <f>B67*100/'Tabell 4'!B67</f>
        <v>1.1173184357541899</v>
      </c>
      <c r="D67" s="68">
        <v>30985</v>
      </c>
      <c r="E67" s="30">
        <f t="shared" si="7"/>
        <v>595.8653846153846</v>
      </c>
    </row>
    <row r="68" spans="1:5" ht="12.75">
      <c r="A68" s="95">
        <v>42460</v>
      </c>
      <c r="B68" s="68">
        <v>57</v>
      </c>
      <c r="C68" s="114">
        <f>B68*100/'Tabell 4'!B68</f>
        <v>1.2179487179487178</v>
      </c>
      <c r="D68" s="68">
        <v>33993</v>
      </c>
      <c r="E68" s="30">
        <f aca="true" t="shared" si="8" ref="E68:E73">D68/B68</f>
        <v>596.3684210526316</v>
      </c>
    </row>
    <row r="69" spans="1:5" ht="12.75">
      <c r="A69" s="95">
        <v>42551</v>
      </c>
      <c r="B69" s="68">
        <v>46</v>
      </c>
      <c r="C69" s="114">
        <f>B69*100/'Tabell 4'!B69</f>
        <v>0.9778911564625851</v>
      </c>
      <c r="D69" s="68">
        <v>25967</v>
      </c>
      <c r="E69" s="30">
        <f t="shared" si="8"/>
        <v>564.5</v>
      </c>
    </row>
    <row r="70" spans="1:5" ht="12.75">
      <c r="A70" s="95">
        <v>42643</v>
      </c>
      <c r="B70" s="68">
        <v>75</v>
      </c>
      <c r="C70" s="114">
        <f>B70*100/'Tabell 4'!B70</f>
        <v>1.575299306868305</v>
      </c>
      <c r="D70" s="68">
        <v>39392</v>
      </c>
      <c r="E70" s="30">
        <f t="shared" si="8"/>
        <v>525.2266666666667</v>
      </c>
    </row>
    <row r="71" spans="1:5" ht="12.75">
      <c r="A71" s="95">
        <v>42735</v>
      </c>
      <c r="B71" s="68">
        <v>78</v>
      </c>
      <c r="C71" s="114">
        <f>B71*100/'Tabell 4'!B71</f>
        <v>1.6434892541087232</v>
      </c>
      <c r="D71" s="68">
        <v>45388</v>
      </c>
      <c r="E71" s="30">
        <f t="shared" si="8"/>
        <v>581.8974358974359</v>
      </c>
    </row>
    <row r="72" spans="1:5" ht="12.75">
      <c r="A72" s="95">
        <v>42825</v>
      </c>
      <c r="B72" s="68">
        <v>84</v>
      </c>
      <c r="C72" s="114">
        <f>B72*100/'Tabell 4'!B72</f>
        <v>1.759899434318039</v>
      </c>
      <c r="D72" s="68">
        <v>46624</v>
      </c>
      <c r="E72" s="30">
        <f t="shared" si="8"/>
        <v>555.047619047619</v>
      </c>
    </row>
    <row r="73" spans="1:5" ht="12.75">
      <c r="A73" s="95">
        <v>42916</v>
      </c>
      <c r="B73" s="68">
        <v>83</v>
      </c>
      <c r="C73" s="114">
        <f>B73*100/'Tabell 4'!B73</f>
        <v>1.733500417710944</v>
      </c>
      <c r="D73" s="68">
        <v>45527</v>
      </c>
      <c r="E73" s="30">
        <f t="shared" si="8"/>
        <v>548.5180722891566</v>
      </c>
    </row>
    <row r="74" spans="1:5" ht="12.75">
      <c r="A74" s="95">
        <v>43008</v>
      </c>
      <c r="B74" s="68">
        <v>73</v>
      </c>
      <c r="C74" s="114">
        <f>B74*100/'Tabell 4'!B74</f>
        <v>1.51578073089701</v>
      </c>
      <c r="D74" s="68">
        <v>35685</v>
      </c>
      <c r="E74" s="30">
        <f aca="true" t="shared" si="9" ref="E74:E79">D74/B74</f>
        <v>488.83561643835617</v>
      </c>
    </row>
    <row r="75" spans="1:5" ht="12.75">
      <c r="A75" s="95">
        <v>43100</v>
      </c>
      <c r="B75" s="68">
        <v>69</v>
      </c>
      <c r="C75" s="114">
        <f>B75*100/'Tabell 4'!B75</f>
        <v>1.4291632145816073</v>
      </c>
      <c r="D75" s="68">
        <v>37733</v>
      </c>
      <c r="E75" s="30">
        <f t="shared" si="9"/>
        <v>546.8550724637681</v>
      </c>
    </row>
    <row r="76" spans="1:5" ht="12.75">
      <c r="A76" s="95">
        <v>43190</v>
      </c>
      <c r="B76" s="68">
        <v>80</v>
      </c>
      <c r="C76" s="114">
        <f>B76*100/'Tabell 4'!B76</f>
        <v>1.6464293064416546</v>
      </c>
      <c r="D76" s="68">
        <v>46105</v>
      </c>
      <c r="E76" s="30">
        <f t="shared" si="9"/>
        <v>576.3125</v>
      </c>
    </row>
    <row r="77" spans="1:5" ht="12.75">
      <c r="A77" s="95">
        <v>43281</v>
      </c>
      <c r="B77" s="68">
        <v>93</v>
      </c>
      <c r="C77" s="114">
        <f>B77*100/'Tabell 4'!B77</f>
        <v>1.9088669950738917</v>
      </c>
      <c r="D77" s="68">
        <v>58850</v>
      </c>
      <c r="E77" s="30">
        <f t="shared" si="9"/>
        <v>632.7956989247311</v>
      </c>
    </row>
    <row r="78" spans="1:5" ht="12.75">
      <c r="A78" s="95">
        <v>43373</v>
      </c>
      <c r="B78" s="68">
        <v>100</v>
      </c>
      <c r="C78" s="114">
        <f>B78*100/'Tabell 4'!B78</f>
        <v>2.037905033625433</v>
      </c>
      <c r="D78" s="68">
        <v>58060</v>
      </c>
      <c r="E78" s="30">
        <f t="shared" si="9"/>
        <v>580.6</v>
      </c>
    </row>
    <row r="79" spans="1:5" ht="12.75">
      <c r="A79" s="95">
        <v>43465</v>
      </c>
      <c r="B79" s="68">
        <v>100</v>
      </c>
      <c r="C79" s="114">
        <f>B79*100/'Tabell 4'!B79</f>
        <v>2.035002035002035</v>
      </c>
      <c r="D79" s="68">
        <v>55042</v>
      </c>
      <c r="E79" s="30">
        <f t="shared" si="9"/>
        <v>550.42</v>
      </c>
    </row>
    <row r="80" ht="12.75">
      <c r="A80" s="35" t="s">
        <v>55</v>
      </c>
    </row>
    <row r="81" ht="12.75">
      <c r="A81" t="s">
        <v>140</v>
      </c>
    </row>
    <row r="82" ht="12.75">
      <c r="A82" s="35" t="s">
        <v>121</v>
      </c>
    </row>
    <row r="83" ht="12.75">
      <c r="A83" s="35" t="s">
        <v>122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1">
      <pane ySplit="5" topLeftCell="A42" activePane="bottomLeft" state="frozen"/>
      <selection pane="topLeft" activeCell="A1" sqref="A1"/>
      <selection pane="bottomLeft" activeCell="A79" sqref="A79:G79"/>
    </sheetView>
  </sheetViews>
  <sheetFormatPr defaultColWidth="11.421875" defaultRowHeight="12.75"/>
  <cols>
    <col min="1" max="1" width="11.57421875" style="0" customWidth="1"/>
    <col min="2" max="2" width="10.421875" style="0" customWidth="1"/>
    <col min="3" max="3" width="15.8515625" style="0" customWidth="1"/>
    <col min="4" max="4" width="15.140625" style="0" customWidth="1"/>
    <col min="5" max="6" width="10.140625" style="0" customWidth="1"/>
    <col min="7" max="7" width="11.140625" style="0" customWidth="1"/>
    <col min="8" max="9" width="9.7109375" style="0" customWidth="1"/>
  </cols>
  <sheetData>
    <row r="1" ht="12.75">
      <c r="A1" s="27" t="s">
        <v>411</v>
      </c>
    </row>
    <row r="2" spans="1:6" ht="12.75">
      <c r="A2" s="27"/>
      <c r="E2" s="13"/>
      <c r="F2" s="13"/>
    </row>
    <row r="3" spans="1:7" ht="12.75">
      <c r="A3" s="33"/>
      <c r="D3" s="13" t="s">
        <v>57</v>
      </c>
      <c r="G3" s="13" t="s">
        <v>94</v>
      </c>
    </row>
    <row r="4" spans="1:7" ht="12.75">
      <c r="A4" s="33"/>
      <c r="B4" s="13"/>
      <c r="C4" s="13" t="s">
        <v>18</v>
      </c>
      <c r="D4" s="13" t="s">
        <v>58</v>
      </c>
      <c r="E4" s="22" t="s">
        <v>27</v>
      </c>
      <c r="F4" s="22" t="s">
        <v>256</v>
      </c>
      <c r="G4" s="22" t="s">
        <v>95</v>
      </c>
    </row>
    <row r="5" spans="1:7" ht="12.75">
      <c r="A5" s="100"/>
      <c r="B5" s="12" t="s">
        <v>38</v>
      </c>
      <c r="C5" s="101" t="s">
        <v>283</v>
      </c>
      <c r="D5" s="101" t="s">
        <v>283</v>
      </c>
      <c r="E5" s="12" t="s">
        <v>26</v>
      </c>
      <c r="F5" s="12" t="s">
        <v>26</v>
      </c>
      <c r="G5" s="12" t="s">
        <v>284</v>
      </c>
    </row>
    <row r="6" spans="1:7" ht="14.25">
      <c r="A6" s="38" t="s">
        <v>53</v>
      </c>
      <c r="B6" s="40">
        <v>3860</v>
      </c>
      <c r="C6" s="42" t="s">
        <v>118</v>
      </c>
      <c r="D6" s="36" t="s">
        <v>118</v>
      </c>
      <c r="E6" s="42" t="s">
        <v>118</v>
      </c>
      <c r="F6" s="77" t="s">
        <v>118</v>
      </c>
      <c r="G6" s="42" t="s">
        <v>118</v>
      </c>
    </row>
    <row r="7" spans="1:7" ht="14.25">
      <c r="A7" s="38" t="s">
        <v>119</v>
      </c>
      <c r="B7" s="40">
        <v>3858</v>
      </c>
      <c r="C7" s="42" t="s">
        <v>118</v>
      </c>
      <c r="D7" s="36" t="s">
        <v>118</v>
      </c>
      <c r="E7" s="42" t="s">
        <v>118</v>
      </c>
      <c r="F7" s="77" t="s">
        <v>118</v>
      </c>
      <c r="G7" s="42" t="s">
        <v>118</v>
      </c>
    </row>
    <row r="8" spans="1:7" ht="14.25">
      <c r="A8" s="38" t="s">
        <v>120</v>
      </c>
      <c r="B8" s="40">
        <v>3858</v>
      </c>
      <c r="C8" s="40">
        <v>4443361</v>
      </c>
      <c r="D8" s="26">
        <f aca="true" t="shared" si="0" ref="D8:D17">C8/B8</f>
        <v>1151.7265422498704</v>
      </c>
      <c r="E8" s="40">
        <v>2576</v>
      </c>
      <c r="F8" s="114">
        <f>E8*100/B8</f>
        <v>66.77034733022292</v>
      </c>
      <c r="G8" s="42" t="s">
        <v>56</v>
      </c>
    </row>
    <row r="9" spans="1:7" ht="12.75">
      <c r="A9" s="38">
        <v>37072</v>
      </c>
      <c r="B9" s="40">
        <v>3896</v>
      </c>
      <c r="C9" s="40">
        <v>4451404</v>
      </c>
      <c r="D9" s="26">
        <f t="shared" si="0"/>
        <v>1142.5574948665299</v>
      </c>
      <c r="E9" s="40">
        <v>2398</v>
      </c>
      <c r="F9" s="114">
        <f aca="true" t="shared" si="1" ref="F9:F22">E9*100/B9</f>
        <v>61.550308008213555</v>
      </c>
      <c r="G9" s="40">
        <v>621617</v>
      </c>
    </row>
    <row r="10" spans="1:7" ht="12.75">
      <c r="A10" s="38">
        <v>37164</v>
      </c>
      <c r="B10" s="40">
        <v>3876</v>
      </c>
      <c r="C10" s="40">
        <v>4469734</v>
      </c>
      <c r="D10" s="26">
        <f t="shared" si="0"/>
        <v>1153.1821465428277</v>
      </c>
      <c r="E10" s="40">
        <v>2192</v>
      </c>
      <c r="F10" s="114">
        <f t="shared" si="1"/>
        <v>56.5531475748194</v>
      </c>
      <c r="G10" s="40">
        <v>612532</v>
      </c>
    </row>
    <row r="11" spans="1:7" ht="12.75">
      <c r="A11" s="38">
        <v>37256</v>
      </c>
      <c r="B11" s="40">
        <v>3857</v>
      </c>
      <c r="C11" s="40">
        <v>4481000</v>
      </c>
      <c r="D11" s="26">
        <f t="shared" si="0"/>
        <v>1161.7837697692507</v>
      </c>
      <c r="E11" s="40">
        <v>2149</v>
      </c>
      <c r="F11" s="114">
        <f t="shared" si="1"/>
        <v>55.71687840290381</v>
      </c>
      <c r="G11" s="40">
        <v>583222</v>
      </c>
    </row>
    <row r="12" spans="1:7" ht="12.75">
      <c r="A12" s="38">
        <v>37346</v>
      </c>
      <c r="B12" s="40">
        <v>3855</v>
      </c>
      <c r="C12" s="40">
        <v>4500190</v>
      </c>
      <c r="D12" s="26">
        <f t="shared" si="0"/>
        <v>1167.3644617380025</v>
      </c>
      <c r="E12" s="40">
        <v>2048</v>
      </c>
      <c r="F12" s="114">
        <f t="shared" si="1"/>
        <v>53.125810635538265</v>
      </c>
      <c r="G12" s="40">
        <v>547239</v>
      </c>
    </row>
    <row r="13" spans="1:7" ht="12.75">
      <c r="A13" s="69">
        <v>37437</v>
      </c>
      <c r="B13" s="68">
        <v>3852</v>
      </c>
      <c r="C13" s="68">
        <v>4510009</v>
      </c>
      <c r="D13" s="30">
        <f t="shared" si="0"/>
        <v>1170.822689511942</v>
      </c>
      <c r="E13" s="40">
        <v>2030</v>
      </c>
      <c r="F13" s="114">
        <f t="shared" si="1"/>
        <v>52.69989615784008</v>
      </c>
      <c r="G13" s="40">
        <v>533108</v>
      </c>
    </row>
    <row r="14" spans="1:7" ht="12.75">
      <c r="A14" s="95">
        <v>37529</v>
      </c>
      <c r="B14" s="68">
        <v>3850</v>
      </c>
      <c r="C14" s="68">
        <v>4518007</v>
      </c>
      <c r="D14" s="30">
        <f t="shared" si="0"/>
        <v>1173.5083116883118</v>
      </c>
      <c r="E14" s="44">
        <v>2333</v>
      </c>
      <c r="F14" s="114">
        <f t="shared" si="1"/>
        <v>60.5974025974026</v>
      </c>
      <c r="G14" s="44">
        <v>527719</v>
      </c>
    </row>
    <row r="15" spans="1:10" s="16" customFormat="1" ht="12.75">
      <c r="A15" s="95">
        <v>37621</v>
      </c>
      <c r="B15" s="68">
        <v>3855</v>
      </c>
      <c r="C15" s="68">
        <v>4531094</v>
      </c>
      <c r="D15" s="30">
        <f t="shared" si="0"/>
        <v>1175.3810635538262</v>
      </c>
      <c r="E15" s="44">
        <v>2194</v>
      </c>
      <c r="F15" s="114">
        <f t="shared" si="1"/>
        <v>56.91309987029831</v>
      </c>
      <c r="G15" s="44">
        <v>502226</v>
      </c>
      <c r="I15"/>
      <c r="J15"/>
    </row>
    <row r="16" spans="1:7" ht="12.75">
      <c r="A16" s="95">
        <v>37711</v>
      </c>
      <c r="B16" s="68">
        <v>3850</v>
      </c>
      <c r="C16" s="68">
        <v>4538729</v>
      </c>
      <c r="D16" s="30">
        <f t="shared" si="0"/>
        <v>1178.8906493506493</v>
      </c>
      <c r="E16" s="44">
        <v>2137</v>
      </c>
      <c r="F16" s="114">
        <f t="shared" si="1"/>
        <v>55.506493506493506</v>
      </c>
      <c r="G16" s="44">
        <v>491957</v>
      </c>
    </row>
    <row r="17" spans="1:7" ht="12.75">
      <c r="A17" s="95">
        <v>37802</v>
      </c>
      <c r="B17" s="68">
        <v>3848</v>
      </c>
      <c r="C17" s="68">
        <v>4542092</v>
      </c>
      <c r="D17" s="30">
        <f t="shared" si="0"/>
        <v>1180.3773388773388</v>
      </c>
      <c r="E17" s="44">
        <v>2090</v>
      </c>
      <c r="F17" s="114">
        <f t="shared" si="1"/>
        <v>54.313929313929314</v>
      </c>
      <c r="G17" s="44">
        <v>490736</v>
      </c>
    </row>
    <row r="18" spans="1:7" ht="12.75">
      <c r="A18" s="95">
        <v>37894</v>
      </c>
      <c r="B18" s="68">
        <v>3853</v>
      </c>
      <c r="C18" s="68">
        <v>4554861</v>
      </c>
      <c r="D18" s="30">
        <f aca="true" t="shared" si="2" ref="D18:D23">C18/B18</f>
        <v>1182.159615883727</v>
      </c>
      <c r="E18" s="44">
        <v>2109</v>
      </c>
      <c r="F18" s="114">
        <f t="shared" si="1"/>
        <v>54.736568907344925</v>
      </c>
      <c r="G18" s="44">
        <v>471657</v>
      </c>
    </row>
    <row r="19" spans="1:7" ht="12.75">
      <c r="A19" s="95">
        <v>37986</v>
      </c>
      <c r="B19" s="68">
        <v>3847</v>
      </c>
      <c r="C19" s="68">
        <v>4563751</v>
      </c>
      <c r="D19" s="30">
        <f t="shared" si="2"/>
        <v>1186.3142708604107</v>
      </c>
      <c r="E19" s="44">
        <v>2026</v>
      </c>
      <c r="F19" s="114">
        <f t="shared" si="1"/>
        <v>52.66441382895763</v>
      </c>
      <c r="G19" s="44">
        <v>452044</v>
      </c>
    </row>
    <row r="20" spans="1:7" ht="12.75">
      <c r="A20" s="95">
        <v>38077</v>
      </c>
      <c r="B20" s="68">
        <v>3847</v>
      </c>
      <c r="C20" s="68">
        <v>4569885</v>
      </c>
      <c r="D20" s="30">
        <f t="shared" si="2"/>
        <v>1187.908760072784</v>
      </c>
      <c r="E20" s="44">
        <v>2042</v>
      </c>
      <c r="F20" s="114">
        <f t="shared" si="1"/>
        <v>53.0803223290876</v>
      </c>
      <c r="G20" s="44">
        <v>448389</v>
      </c>
    </row>
    <row r="21" spans="1:7" ht="12.75">
      <c r="A21" s="95">
        <v>38168</v>
      </c>
      <c r="B21" s="68">
        <v>3863</v>
      </c>
      <c r="C21" s="68">
        <v>4576869</v>
      </c>
      <c r="D21" s="30">
        <f t="shared" si="2"/>
        <v>1184.796531193373</v>
      </c>
      <c r="E21" s="44">
        <v>1994</v>
      </c>
      <c r="F21" s="114">
        <f t="shared" si="1"/>
        <v>51.61791353870049</v>
      </c>
      <c r="G21" s="44">
        <v>457680</v>
      </c>
    </row>
    <row r="22" spans="1:7" ht="12.75">
      <c r="A22" s="95">
        <v>38260</v>
      </c>
      <c r="B22" s="68">
        <v>3870</v>
      </c>
      <c r="C22" s="68">
        <v>4585807</v>
      </c>
      <c r="D22" s="30">
        <f t="shared" si="2"/>
        <v>1184.9630490956072</v>
      </c>
      <c r="E22" s="44">
        <v>2128</v>
      </c>
      <c r="F22" s="114">
        <f t="shared" si="1"/>
        <v>54.987080103359176</v>
      </c>
      <c r="G22" s="44">
        <v>460057</v>
      </c>
    </row>
    <row r="23" spans="1:7" ht="12.75">
      <c r="A23" s="95">
        <v>38352</v>
      </c>
      <c r="B23" s="68">
        <v>3877</v>
      </c>
      <c r="C23" s="68">
        <v>4594210</v>
      </c>
      <c r="D23" s="30">
        <f t="shared" si="2"/>
        <v>1184.9909724013412</v>
      </c>
      <c r="E23" s="44">
        <v>2140</v>
      </c>
      <c r="F23" s="114">
        <f aca="true" t="shared" si="3" ref="F23:F28">E23*100/B23</f>
        <v>55.1973175135414</v>
      </c>
      <c r="G23" s="44">
        <v>459183</v>
      </c>
    </row>
    <row r="24" spans="1:7" ht="12.75">
      <c r="A24" s="95">
        <v>38442</v>
      </c>
      <c r="B24" s="68">
        <v>3876</v>
      </c>
      <c r="C24" s="68">
        <v>4602761</v>
      </c>
      <c r="D24" s="30">
        <f aca="true" t="shared" si="4" ref="D24:D29">C24/B24</f>
        <v>1187.5028379772962</v>
      </c>
      <c r="E24" s="44">
        <v>2176</v>
      </c>
      <c r="F24" s="114">
        <f t="shared" si="3"/>
        <v>56.14035087719298</v>
      </c>
      <c r="G24" s="44">
        <v>455221</v>
      </c>
    </row>
    <row r="25" spans="1:7" ht="12.75">
      <c r="A25" s="95">
        <v>38533</v>
      </c>
      <c r="B25" s="68">
        <v>3882</v>
      </c>
      <c r="C25" s="68">
        <v>4609773</v>
      </c>
      <c r="D25" s="30">
        <f t="shared" si="4"/>
        <v>1187.4737248840804</v>
      </c>
      <c r="E25" s="44">
        <v>2047</v>
      </c>
      <c r="F25" s="114">
        <f t="shared" si="3"/>
        <v>52.73055126223596</v>
      </c>
      <c r="G25" s="44">
        <v>445603</v>
      </c>
    </row>
    <row r="26" spans="1:7" ht="12.75">
      <c r="A26" s="95">
        <v>38625</v>
      </c>
      <c r="B26" s="68">
        <v>3892</v>
      </c>
      <c r="C26" s="68">
        <v>4619190</v>
      </c>
      <c r="D26" s="30">
        <f t="shared" si="4"/>
        <v>1186.8422404933197</v>
      </c>
      <c r="E26" s="44">
        <v>2129</v>
      </c>
      <c r="F26" s="114">
        <f t="shared" si="3"/>
        <v>54.701952723535456</v>
      </c>
      <c r="G26" s="44">
        <v>450405</v>
      </c>
    </row>
    <row r="27" spans="1:7" ht="12.75">
      <c r="A27" s="95">
        <v>38717</v>
      </c>
      <c r="B27" s="68">
        <v>3893</v>
      </c>
      <c r="C27" s="68">
        <v>4626937</v>
      </c>
      <c r="D27" s="30">
        <f t="shared" si="4"/>
        <v>1188.527356794246</v>
      </c>
      <c r="E27" s="44">
        <v>2032</v>
      </c>
      <c r="F27" s="114">
        <f t="shared" si="3"/>
        <v>52.19624967891087</v>
      </c>
      <c r="G27" s="44">
        <v>439858</v>
      </c>
    </row>
    <row r="28" spans="1:7" ht="12.75">
      <c r="A28" s="95">
        <v>38807</v>
      </c>
      <c r="B28" s="68">
        <v>3908</v>
      </c>
      <c r="C28" s="68">
        <v>4635274</v>
      </c>
      <c r="D28" s="30">
        <f t="shared" si="4"/>
        <v>1186.098771750256</v>
      </c>
      <c r="E28" s="44">
        <v>2025</v>
      </c>
      <c r="F28" s="114">
        <f t="shared" si="3"/>
        <v>51.816786079836234</v>
      </c>
      <c r="G28" s="44">
        <v>442051</v>
      </c>
    </row>
    <row r="29" spans="1:7" ht="12.75">
      <c r="A29" s="95">
        <v>38898</v>
      </c>
      <c r="B29" s="68">
        <v>3917</v>
      </c>
      <c r="C29" s="68">
        <v>4645791</v>
      </c>
      <c r="D29" s="30">
        <f t="shared" si="4"/>
        <v>1186.0584631095226</v>
      </c>
      <c r="E29" s="44">
        <v>1993</v>
      </c>
      <c r="F29" s="114">
        <f aca="true" t="shared" si="5" ref="F29:F34">E29*100/B29</f>
        <v>50.88077610416135</v>
      </c>
      <c r="G29" s="44">
        <v>438103</v>
      </c>
    </row>
    <row r="30" spans="1:7" ht="12.75">
      <c r="A30" s="95">
        <v>38990</v>
      </c>
      <c r="B30" s="68">
        <v>3927</v>
      </c>
      <c r="C30" s="68">
        <v>4654279</v>
      </c>
      <c r="D30" s="30">
        <f aca="true" t="shared" si="6" ref="D30:D35">C30/B30</f>
        <v>1185.1996434937612</v>
      </c>
      <c r="E30" s="44">
        <v>1948</v>
      </c>
      <c r="F30" s="114">
        <f t="shared" si="5"/>
        <v>49.605296664120196</v>
      </c>
      <c r="G30" s="44">
        <v>437326</v>
      </c>
    </row>
    <row r="31" spans="1:7" ht="12.75">
      <c r="A31" s="95">
        <v>39082</v>
      </c>
      <c r="B31" s="68">
        <v>3940</v>
      </c>
      <c r="C31" s="68">
        <v>4666942</v>
      </c>
      <c r="D31" s="30">
        <f t="shared" si="6"/>
        <v>1184.5030456852792</v>
      </c>
      <c r="E31" s="44">
        <v>1969</v>
      </c>
      <c r="F31" s="114">
        <f t="shared" si="5"/>
        <v>49.974619289340104</v>
      </c>
      <c r="G31" s="44">
        <v>432927</v>
      </c>
    </row>
    <row r="32" spans="1:7" ht="12.75">
      <c r="A32" s="95">
        <v>39172</v>
      </c>
      <c r="B32" s="68">
        <v>3953</v>
      </c>
      <c r="C32" s="68">
        <v>4678186</v>
      </c>
      <c r="D32" s="30">
        <f t="shared" si="6"/>
        <v>1183.452061725272</v>
      </c>
      <c r="E32" s="44">
        <v>1978</v>
      </c>
      <c r="F32" s="114">
        <f t="shared" si="5"/>
        <v>50.03794586390084</v>
      </c>
      <c r="G32" s="44">
        <v>429851</v>
      </c>
    </row>
    <row r="33" spans="1:7" ht="12.75">
      <c r="A33" s="95">
        <v>39263</v>
      </c>
      <c r="B33" s="68">
        <v>3960</v>
      </c>
      <c r="C33" s="68">
        <v>4690527</v>
      </c>
      <c r="D33" s="30">
        <f t="shared" si="6"/>
        <v>1184.476515151515</v>
      </c>
      <c r="E33" s="44">
        <v>1880</v>
      </c>
      <c r="F33" s="114">
        <f t="shared" si="5"/>
        <v>47.474747474747474</v>
      </c>
      <c r="G33" s="44">
        <v>418688</v>
      </c>
    </row>
    <row r="34" spans="1:7" ht="12.75">
      <c r="A34" s="95">
        <v>39355</v>
      </c>
      <c r="B34" s="68">
        <v>3975</v>
      </c>
      <c r="C34" s="68">
        <v>4703793</v>
      </c>
      <c r="D34" s="30">
        <f t="shared" si="6"/>
        <v>1183.3441509433962</v>
      </c>
      <c r="E34" s="44">
        <v>1933</v>
      </c>
      <c r="F34" s="114">
        <f t="shared" si="5"/>
        <v>48.62893081761006</v>
      </c>
      <c r="G34" s="44">
        <v>409372</v>
      </c>
    </row>
    <row r="35" spans="1:7" ht="12.75">
      <c r="A35" s="95">
        <v>39447</v>
      </c>
      <c r="B35" s="68">
        <v>3993</v>
      </c>
      <c r="C35" s="68">
        <v>4718928</v>
      </c>
      <c r="D35" s="30">
        <f t="shared" si="6"/>
        <v>1181.8001502629602</v>
      </c>
      <c r="E35" s="44">
        <v>1899</v>
      </c>
      <c r="F35" s="114">
        <f aca="true" t="shared" si="7" ref="F35:F48">E35*100/B35</f>
        <v>47.55822689706987</v>
      </c>
      <c r="G35" s="44">
        <v>402578</v>
      </c>
    </row>
    <row r="36" spans="1:7" ht="12.75">
      <c r="A36" s="95">
        <v>39538</v>
      </c>
      <c r="B36" s="68">
        <v>4012</v>
      </c>
      <c r="C36" s="68">
        <v>4737114</v>
      </c>
      <c r="D36" s="30">
        <f aca="true" t="shared" si="8" ref="D36:D48">C36/B36</f>
        <v>1180.7362911266202</v>
      </c>
      <c r="E36" s="44">
        <v>1855</v>
      </c>
      <c r="F36" s="114">
        <f t="shared" si="7"/>
        <v>46.23629112662014</v>
      </c>
      <c r="G36" s="44">
        <v>389656</v>
      </c>
    </row>
    <row r="37" spans="1:7" ht="12.75">
      <c r="A37" s="95">
        <v>39629</v>
      </c>
      <c r="B37" s="68">
        <v>4025</v>
      </c>
      <c r="C37" s="68">
        <v>4754020</v>
      </c>
      <c r="D37" s="30">
        <f t="shared" si="8"/>
        <v>1181.1229813664597</v>
      </c>
      <c r="E37" s="44">
        <v>1848</v>
      </c>
      <c r="F37" s="114">
        <f t="shared" si="7"/>
        <v>45.91304347826087</v>
      </c>
      <c r="G37" s="44">
        <v>372694</v>
      </c>
    </row>
    <row r="38" spans="1:7" ht="12.75">
      <c r="A38" s="95">
        <v>39721</v>
      </c>
      <c r="B38" s="68">
        <v>4041</v>
      </c>
      <c r="C38" s="68">
        <v>4768392</v>
      </c>
      <c r="D38" s="30">
        <f t="shared" si="8"/>
        <v>1180.0029695619896</v>
      </c>
      <c r="E38" s="44">
        <v>1865</v>
      </c>
      <c r="F38" s="114">
        <f t="shared" si="7"/>
        <v>46.1519425884682</v>
      </c>
      <c r="G38" s="44">
        <v>369988</v>
      </c>
    </row>
    <row r="39" spans="1:7" ht="12.75">
      <c r="A39" s="95">
        <v>39813</v>
      </c>
      <c r="B39" s="68">
        <v>4068</v>
      </c>
      <c r="C39" s="68">
        <v>4786558</v>
      </c>
      <c r="D39" s="30">
        <f t="shared" si="8"/>
        <v>1176.6366764995084</v>
      </c>
      <c r="E39" s="44">
        <v>1897</v>
      </c>
      <c r="F39" s="114">
        <f t="shared" si="7"/>
        <v>46.6322517207473</v>
      </c>
      <c r="G39" s="44">
        <v>373179</v>
      </c>
    </row>
    <row r="40" spans="1:7" ht="12.75">
      <c r="A40" s="95">
        <v>39903</v>
      </c>
      <c r="B40" s="68">
        <v>4082</v>
      </c>
      <c r="C40" s="68">
        <v>4802278</v>
      </c>
      <c r="D40" s="30">
        <f t="shared" si="8"/>
        <v>1176.4522292993631</v>
      </c>
      <c r="E40" s="44">
        <v>1897</v>
      </c>
      <c r="F40" s="114">
        <f t="shared" si="7"/>
        <v>46.47231749142577</v>
      </c>
      <c r="G40" s="44">
        <v>362787</v>
      </c>
    </row>
    <row r="41" spans="1:7" ht="12.75">
      <c r="A41" s="95">
        <v>39994</v>
      </c>
      <c r="B41" s="68">
        <v>4098</v>
      </c>
      <c r="C41" s="68">
        <v>4818400</v>
      </c>
      <c r="D41" s="30">
        <f t="shared" si="8"/>
        <v>1175.7930697901415</v>
      </c>
      <c r="E41" s="44">
        <v>1773</v>
      </c>
      <c r="F41" s="114">
        <f t="shared" si="7"/>
        <v>43.265007320644216</v>
      </c>
      <c r="G41" s="44">
        <v>353363</v>
      </c>
    </row>
    <row r="42" spans="1:7" ht="12.75">
      <c r="A42" s="95">
        <v>40086</v>
      </c>
      <c r="B42" s="68">
        <v>4122</v>
      </c>
      <c r="C42" s="68">
        <v>4831861</v>
      </c>
      <c r="D42" s="30">
        <f t="shared" si="8"/>
        <v>1172.2127607957302</v>
      </c>
      <c r="E42" s="44">
        <v>1828</v>
      </c>
      <c r="F42" s="114">
        <f t="shared" si="7"/>
        <v>44.347404172731686</v>
      </c>
      <c r="G42" s="44">
        <v>354048</v>
      </c>
    </row>
    <row r="43" spans="1:7" ht="12.75">
      <c r="A43" s="95">
        <v>40178</v>
      </c>
      <c r="B43" s="68">
        <v>4133</v>
      </c>
      <c r="C43" s="68">
        <v>4850094</v>
      </c>
      <c r="D43" s="30">
        <f t="shared" si="8"/>
        <v>1173.5044761674328</v>
      </c>
      <c r="E43" s="44">
        <v>1756</v>
      </c>
      <c r="F43" s="114">
        <f t="shared" si="7"/>
        <v>42.48729736269054</v>
      </c>
      <c r="G43" s="44">
        <v>345338</v>
      </c>
    </row>
    <row r="44" spans="1:7" ht="12.75">
      <c r="A44" s="95">
        <v>40268</v>
      </c>
      <c r="B44" s="68">
        <v>4158</v>
      </c>
      <c r="C44" s="68">
        <v>4868653</v>
      </c>
      <c r="D44" s="30">
        <f t="shared" si="8"/>
        <v>1170.9122174122174</v>
      </c>
      <c r="E44" s="44">
        <v>1846</v>
      </c>
      <c r="F44" s="114">
        <f t="shared" si="7"/>
        <v>44.396344396344396</v>
      </c>
      <c r="G44" s="44">
        <v>342652</v>
      </c>
    </row>
    <row r="45" spans="1:7" ht="12.75">
      <c r="A45" s="95">
        <v>40359</v>
      </c>
      <c r="B45" s="68">
        <v>4171</v>
      </c>
      <c r="C45" s="68">
        <v>4885010</v>
      </c>
      <c r="D45" s="30">
        <f t="shared" si="8"/>
        <v>1171.1843682570127</v>
      </c>
      <c r="E45" s="44">
        <v>1840</v>
      </c>
      <c r="F45" s="114">
        <f t="shared" si="7"/>
        <v>44.114121313833614</v>
      </c>
      <c r="G45" s="44">
        <v>342598</v>
      </c>
    </row>
    <row r="46" spans="1:7" ht="12.75">
      <c r="A46" s="95">
        <v>40451</v>
      </c>
      <c r="B46" s="68">
        <v>4197</v>
      </c>
      <c r="C46" s="68">
        <v>4898646</v>
      </c>
      <c r="D46" s="30">
        <f t="shared" si="8"/>
        <v>1167.1779842744818</v>
      </c>
      <c r="E46" s="44">
        <v>1946</v>
      </c>
      <c r="F46" s="114">
        <f t="shared" si="7"/>
        <v>46.36645222778175</v>
      </c>
      <c r="G46" s="44">
        <v>345830</v>
      </c>
    </row>
    <row r="47" spans="1:7" ht="12.75">
      <c r="A47" s="95">
        <v>40543</v>
      </c>
      <c r="B47" s="68">
        <v>4205</v>
      </c>
      <c r="C47" s="68">
        <v>4915372</v>
      </c>
      <c r="D47" s="30">
        <f t="shared" si="8"/>
        <v>1168.9350772889418</v>
      </c>
      <c r="E47" s="44">
        <v>1880</v>
      </c>
      <c r="F47" s="114">
        <f t="shared" si="7"/>
        <v>44.70868014268728</v>
      </c>
      <c r="G47" s="44">
        <v>336819</v>
      </c>
    </row>
    <row r="48" spans="1:7" ht="12.75">
      <c r="A48" s="95">
        <v>40633</v>
      </c>
      <c r="B48" s="68">
        <v>4227</v>
      </c>
      <c r="C48" s="68">
        <v>4934721</v>
      </c>
      <c r="D48" s="30">
        <f t="shared" si="8"/>
        <v>1167.4286728176012</v>
      </c>
      <c r="E48" s="44">
        <v>2029</v>
      </c>
      <c r="F48" s="114">
        <f t="shared" si="7"/>
        <v>48.0009462976106</v>
      </c>
      <c r="G48" s="44">
        <v>338954</v>
      </c>
    </row>
    <row r="49" spans="1:7" ht="12.75">
      <c r="A49" s="95">
        <v>40724</v>
      </c>
      <c r="B49" s="68">
        <v>4245</v>
      </c>
      <c r="C49" s="68">
        <v>4946675</v>
      </c>
      <c r="D49" s="30">
        <f aca="true" t="shared" si="9" ref="D49:D56">C49/B49</f>
        <v>1165.2944640753828</v>
      </c>
      <c r="E49" s="44">
        <v>1905</v>
      </c>
      <c r="F49" s="114">
        <f aca="true" t="shared" si="10" ref="F49:F56">E49*100/B49</f>
        <v>44.87632508833922</v>
      </c>
      <c r="G49" s="44">
        <v>339121</v>
      </c>
    </row>
    <row r="50" spans="1:7" ht="12.75">
      <c r="A50" s="95">
        <v>40816</v>
      </c>
      <c r="B50" s="68">
        <v>4259</v>
      </c>
      <c r="C50" s="68">
        <v>4963472</v>
      </c>
      <c r="D50" s="30">
        <f t="shared" si="9"/>
        <v>1165.4078422164828</v>
      </c>
      <c r="E50" s="44">
        <v>1916</v>
      </c>
      <c r="F50" s="114">
        <f t="shared" si="10"/>
        <v>44.98708617046255</v>
      </c>
      <c r="G50" s="44">
        <v>334481</v>
      </c>
    </row>
    <row r="51" spans="1:7" ht="12.75">
      <c r="A51" s="95">
        <v>40908</v>
      </c>
      <c r="B51" s="68">
        <v>4272</v>
      </c>
      <c r="C51" s="68">
        <v>4980572</v>
      </c>
      <c r="D51" s="30">
        <f t="shared" si="9"/>
        <v>1165.8642322097378</v>
      </c>
      <c r="E51" s="44">
        <v>1861</v>
      </c>
      <c r="F51" s="114">
        <f t="shared" si="10"/>
        <v>43.56273408239701</v>
      </c>
      <c r="G51" s="44">
        <v>313124</v>
      </c>
    </row>
    <row r="52" spans="1:7" ht="12.75">
      <c r="A52" s="95">
        <v>40999</v>
      </c>
      <c r="B52" s="68">
        <v>4302</v>
      </c>
      <c r="C52" s="68">
        <v>4997447</v>
      </c>
      <c r="D52" s="30">
        <f t="shared" si="9"/>
        <v>1161.6566713156672</v>
      </c>
      <c r="E52" s="44">
        <v>1843</v>
      </c>
      <c r="F52" s="114">
        <f t="shared" si="10"/>
        <v>42.840539284053925</v>
      </c>
      <c r="G52" s="44">
        <v>313986</v>
      </c>
    </row>
    <row r="53" spans="1:7" ht="12.75">
      <c r="A53" s="95">
        <v>41090</v>
      </c>
      <c r="B53" s="68">
        <v>4317</v>
      </c>
      <c r="C53" s="68">
        <v>5013519</v>
      </c>
      <c r="D53" s="30">
        <f t="shared" si="9"/>
        <v>1161.3432939541349</v>
      </c>
      <c r="E53" s="44">
        <v>1762</v>
      </c>
      <c r="F53" s="114">
        <f t="shared" si="10"/>
        <v>40.815381051656246</v>
      </c>
      <c r="G53" s="44">
        <v>303070</v>
      </c>
    </row>
    <row r="54" spans="1:7" ht="12.75">
      <c r="A54" s="95">
        <v>41182</v>
      </c>
      <c r="B54" s="68">
        <v>4345</v>
      </c>
      <c r="C54" s="68">
        <v>5031618</v>
      </c>
      <c r="D54" s="30">
        <f t="shared" si="9"/>
        <v>1158.0248561565018</v>
      </c>
      <c r="E54" s="44">
        <v>1910</v>
      </c>
      <c r="F54" s="114">
        <f t="shared" si="10"/>
        <v>43.958573072497124</v>
      </c>
      <c r="G54" s="44">
        <v>311132</v>
      </c>
    </row>
    <row r="55" spans="1:7" ht="12.75">
      <c r="A55" s="95">
        <v>41274</v>
      </c>
      <c r="B55" s="68">
        <v>4370</v>
      </c>
      <c r="C55" s="68">
        <v>5048718</v>
      </c>
      <c r="D55" s="30">
        <f t="shared" si="9"/>
        <v>1155.3130434782609</v>
      </c>
      <c r="E55" s="44">
        <v>1783</v>
      </c>
      <c r="F55" s="114">
        <f t="shared" si="10"/>
        <v>40.80091533180778</v>
      </c>
      <c r="G55" s="44">
        <v>310656</v>
      </c>
    </row>
    <row r="56" spans="1:7" ht="12.75">
      <c r="A56" s="95">
        <v>41364</v>
      </c>
      <c r="B56" s="68">
        <v>4385</v>
      </c>
      <c r="C56" s="68">
        <v>5063923</v>
      </c>
      <c r="D56" s="30">
        <f t="shared" si="9"/>
        <v>1154.8285062713796</v>
      </c>
      <c r="E56" s="44">
        <v>1835</v>
      </c>
      <c r="F56" s="114">
        <f t="shared" si="10"/>
        <v>41.84720638540479</v>
      </c>
      <c r="G56" s="44">
        <v>298377</v>
      </c>
    </row>
    <row r="57" spans="1:7" ht="12.75">
      <c r="A57" s="95">
        <v>41455</v>
      </c>
      <c r="B57" s="68">
        <v>4408</v>
      </c>
      <c r="C57" s="68">
        <v>5340560</v>
      </c>
      <c r="D57" s="30">
        <f aca="true" t="shared" si="11" ref="D57:D62">C57/B57</f>
        <v>1211.5607985480945</v>
      </c>
      <c r="E57" s="44">
        <v>1756</v>
      </c>
      <c r="F57" s="114">
        <f aca="true" t="shared" si="12" ref="F57:F62">E57*100/B57</f>
        <v>39.83666061705989</v>
      </c>
      <c r="G57" s="44">
        <v>292840</v>
      </c>
    </row>
    <row r="58" spans="1:7" ht="12.75">
      <c r="A58" s="95">
        <v>41547</v>
      </c>
      <c r="B58" s="68">
        <v>4453</v>
      </c>
      <c r="C58" s="68">
        <v>5093019</v>
      </c>
      <c r="D58" s="30">
        <f t="shared" si="11"/>
        <v>1143.7275993712103</v>
      </c>
      <c r="E58" s="44">
        <v>2008</v>
      </c>
      <c r="F58" s="114">
        <f t="shared" si="12"/>
        <v>45.09319559847294</v>
      </c>
      <c r="G58" s="44">
        <v>316264</v>
      </c>
    </row>
    <row r="59" spans="1:7" ht="12.75">
      <c r="A59" s="95">
        <v>41639</v>
      </c>
      <c r="B59" s="68">
        <v>4474</v>
      </c>
      <c r="C59" s="68">
        <v>5109174</v>
      </c>
      <c r="D59" s="30">
        <f t="shared" si="11"/>
        <v>1141.9700491729996</v>
      </c>
      <c r="E59" s="44">
        <v>1897</v>
      </c>
      <c r="F59" s="114">
        <f t="shared" si="12"/>
        <v>42.4005364327224</v>
      </c>
      <c r="G59" s="44">
        <v>317996</v>
      </c>
    </row>
    <row r="60" spans="1:7" ht="12.75">
      <c r="A60" s="95">
        <v>41729</v>
      </c>
      <c r="B60" s="68">
        <v>4516</v>
      </c>
      <c r="C60" s="68">
        <v>5125649</v>
      </c>
      <c r="D60" s="30">
        <f t="shared" si="11"/>
        <v>1134.9975642161205</v>
      </c>
      <c r="E60" s="44">
        <v>1949</v>
      </c>
      <c r="F60" s="114">
        <f t="shared" si="12"/>
        <v>43.15766164747564</v>
      </c>
      <c r="G60" s="44">
        <v>331438</v>
      </c>
    </row>
    <row r="61" spans="1:7" ht="12.75">
      <c r="A61" s="95">
        <v>41820</v>
      </c>
      <c r="B61" s="68">
        <v>4551</v>
      </c>
      <c r="C61" s="68">
        <v>5140689</v>
      </c>
      <c r="D61" s="30">
        <f t="shared" si="11"/>
        <v>1129.573500329598</v>
      </c>
      <c r="E61" s="44">
        <v>1965</v>
      </c>
      <c r="F61" s="114">
        <f t="shared" si="12"/>
        <v>43.17732366512854</v>
      </c>
      <c r="G61" s="44">
        <v>338464</v>
      </c>
    </row>
    <row r="62" spans="1:7" ht="12.75">
      <c r="A62" s="95">
        <v>41912</v>
      </c>
      <c r="B62" s="68">
        <v>4576</v>
      </c>
      <c r="C62" s="68">
        <v>5154984</v>
      </c>
      <c r="D62" s="30">
        <f t="shared" si="11"/>
        <v>1126.5262237762238</v>
      </c>
      <c r="E62" s="44">
        <v>2057</v>
      </c>
      <c r="F62" s="114">
        <f t="shared" si="12"/>
        <v>44.95192307692308</v>
      </c>
      <c r="G62" s="44">
        <v>343665</v>
      </c>
    </row>
    <row r="63" spans="1:7" ht="12.75">
      <c r="A63" s="95">
        <v>42004</v>
      </c>
      <c r="B63" s="68">
        <v>4598</v>
      </c>
      <c r="C63" s="68">
        <v>5169133</v>
      </c>
      <c r="D63" s="30">
        <f aca="true" t="shared" si="13" ref="D63:D68">C63/B63</f>
        <v>1124.2133536320139</v>
      </c>
      <c r="E63" s="44">
        <v>2047</v>
      </c>
      <c r="F63" s="114">
        <f aca="true" t="shared" si="14" ref="F63:F68">E63*100/B63</f>
        <v>44.51935624184428</v>
      </c>
      <c r="G63" s="44">
        <v>350326</v>
      </c>
    </row>
    <row r="64" spans="1:7" ht="12.75">
      <c r="A64" s="95">
        <v>42094</v>
      </c>
      <c r="B64" s="68">
        <v>4620</v>
      </c>
      <c r="C64" s="68">
        <v>5182300</v>
      </c>
      <c r="D64" s="30">
        <f t="shared" si="13"/>
        <v>1121.7099567099567</v>
      </c>
      <c r="E64" s="44">
        <v>2116</v>
      </c>
      <c r="F64" s="114">
        <f t="shared" si="14"/>
        <v>45.8008658008658</v>
      </c>
      <c r="G64" s="44">
        <v>338303</v>
      </c>
    </row>
    <row r="65" spans="1:7" ht="12.75">
      <c r="A65" s="95">
        <v>42185</v>
      </c>
      <c r="B65" s="68">
        <v>4637</v>
      </c>
      <c r="C65" s="68">
        <v>5193791</v>
      </c>
      <c r="D65" s="30">
        <f t="shared" si="13"/>
        <v>1120.0756954927756</v>
      </c>
      <c r="E65" s="44">
        <v>1984</v>
      </c>
      <c r="F65" s="114">
        <f t="shared" si="14"/>
        <v>42.786284235497085</v>
      </c>
      <c r="G65" s="44">
        <v>338604</v>
      </c>
    </row>
    <row r="66" spans="1:7" ht="12.75">
      <c r="A66" s="95">
        <v>42277</v>
      </c>
      <c r="B66" s="68">
        <v>4644</v>
      </c>
      <c r="C66" s="68">
        <v>5205485</v>
      </c>
      <c r="D66" s="30">
        <f t="shared" si="13"/>
        <v>1120.9054694229112</v>
      </c>
      <c r="E66" s="44">
        <v>2066</v>
      </c>
      <c r="F66" s="114">
        <f t="shared" si="14"/>
        <v>44.487510766580534</v>
      </c>
      <c r="G66" s="44">
        <v>323582</v>
      </c>
    </row>
    <row r="67" spans="1:7" ht="12.75">
      <c r="A67" s="95">
        <v>42369</v>
      </c>
      <c r="B67" s="68">
        <v>4654</v>
      </c>
      <c r="C67" s="68">
        <v>5219771</v>
      </c>
      <c r="D67" s="30">
        <f t="shared" si="13"/>
        <v>1121.5666093682853</v>
      </c>
      <c r="E67" s="44">
        <v>1934</v>
      </c>
      <c r="F67" s="114">
        <f t="shared" si="14"/>
        <v>41.555651052857755</v>
      </c>
      <c r="G67" s="44">
        <v>309888</v>
      </c>
    </row>
    <row r="68" spans="1:7" ht="12.75">
      <c r="A68" s="95">
        <v>42460</v>
      </c>
      <c r="B68" s="68">
        <v>4680</v>
      </c>
      <c r="C68" s="68">
        <v>5235987</v>
      </c>
      <c r="D68" s="30">
        <f t="shared" si="13"/>
        <v>1118.800641025641</v>
      </c>
      <c r="E68" s="44">
        <v>1883</v>
      </c>
      <c r="F68" s="114">
        <f t="shared" si="14"/>
        <v>40.23504273504273</v>
      </c>
      <c r="G68" s="44">
        <v>304463</v>
      </c>
    </row>
    <row r="69" spans="1:7" ht="12.75">
      <c r="A69" s="95">
        <v>42551</v>
      </c>
      <c r="B69" s="68">
        <v>4704</v>
      </c>
      <c r="C69" s="68">
        <v>5249111</v>
      </c>
      <c r="D69" s="30">
        <f aca="true" t="shared" si="15" ref="D69:D74">C69/B69</f>
        <v>1115.8824404761904</v>
      </c>
      <c r="E69" s="44">
        <f>3043+39</f>
        <v>3082</v>
      </c>
      <c r="F69" s="114">
        <f aca="true" t="shared" si="16" ref="F69:F74">E69*100/B69</f>
        <v>65.5187074829932</v>
      </c>
      <c r="G69" s="44">
        <f>247645+25967</f>
        <v>273612</v>
      </c>
    </row>
    <row r="70" spans="1:7" ht="12.75">
      <c r="A70" s="95">
        <v>42643</v>
      </c>
      <c r="B70" s="68">
        <v>4761</v>
      </c>
      <c r="C70" s="68">
        <v>5264453</v>
      </c>
      <c r="D70" s="30">
        <f t="shared" si="15"/>
        <v>1105.7452215921026</v>
      </c>
      <c r="E70" s="44">
        <f>2767+55</f>
        <v>2822</v>
      </c>
      <c r="F70" s="114">
        <f t="shared" si="16"/>
        <v>59.27326191976476</v>
      </c>
      <c r="G70" s="44">
        <f>270029+27012</f>
        <v>297041</v>
      </c>
    </row>
    <row r="71" spans="1:7" ht="12.75">
      <c r="A71" s="95">
        <v>42735</v>
      </c>
      <c r="B71" s="68">
        <v>4746</v>
      </c>
      <c r="C71" s="68">
        <v>5274440</v>
      </c>
      <c r="D71" s="30">
        <f t="shared" si="15"/>
        <v>1111.3442899283607</v>
      </c>
      <c r="E71" s="44">
        <f>2307+63</f>
        <v>2370</v>
      </c>
      <c r="F71" s="114">
        <f t="shared" si="16"/>
        <v>49.93678887484197</v>
      </c>
      <c r="G71" s="44">
        <f>243635+21360</f>
        <v>264995</v>
      </c>
    </row>
    <row r="72" spans="1:7" ht="12.75">
      <c r="A72" s="95">
        <v>42825</v>
      </c>
      <c r="B72" s="68">
        <v>4773</v>
      </c>
      <c r="C72" s="39">
        <f>'Tabell 2'!D72+'Tabell 3'!D72</f>
        <v>5278150</v>
      </c>
      <c r="D72" s="30">
        <f t="shared" si="15"/>
        <v>1105.834904672114</v>
      </c>
      <c r="E72" s="44">
        <f>1703+70</f>
        <v>1773</v>
      </c>
      <c r="F72" s="114">
        <f t="shared" si="16"/>
        <v>37.146448774355754</v>
      </c>
      <c r="G72" s="44">
        <f>254385+24829</f>
        <v>279214</v>
      </c>
    </row>
    <row r="73" spans="1:7" ht="12.75">
      <c r="A73" s="95">
        <v>42916</v>
      </c>
      <c r="B73" s="68">
        <v>4788</v>
      </c>
      <c r="C73" s="39">
        <f>'Tabell 2'!D73+'Tabell 3'!D73</f>
        <v>5290625</v>
      </c>
      <c r="D73" s="30">
        <f t="shared" si="15"/>
        <v>1104.9759816207184</v>
      </c>
      <c r="E73" s="44">
        <f>1822+72</f>
        <v>1894</v>
      </c>
      <c r="F73" s="114">
        <f t="shared" si="16"/>
        <v>39.55722639933166</v>
      </c>
      <c r="G73" s="44">
        <f>241254+23756</f>
        <v>265010</v>
      </c>
    </row>
    <row r="74" spans="1:7" ht="12.75">
      <c r="A74" s="95">
        <v>43008</v>
      </c>
      <c r="B74" s="68">
        <v>4816</v>
      </c>
      <c r="C74" s="39">
        <f>'Tabell 2'!D74+'Tabell 3'!D74</f>
        <v>5289184</v>
      </c>
      <c r="D74" s="30">
        <f t="shared" si="15"/>
        <v>1098.252491694352</v>
      </c>
      <c r="E74" s="44">
        <f>2327+57</f>
        <v>2384</v>
      </c>
      <c r="F74" s="114">
        <f t="shared" si="16"/>
        <v>49.501661129568106</v>
      </c>
      <c r="G74" s="44">
        <f>252016+23545</f>
        <v>275561</v>
      </c>
    </row>
    <row r="75" spans="1:7" ht="12.75">
      <c r="A75" s="95">
        <v>43100</v>
      </c>
      <c r="B75" s="68">
        <v>4828</v>
      </c>
      <c r="C75" s="39">
        <f>'Tabell 2'!D75+'Tabell 3'!D75</f>
        <v>5300909</v>
      </c>
      <c r="D75" s="30">
        <f>C75/B75</f>
        <v>1097.9513256006628</v>
      </c>
      <c r="E75" s="44">
        <f>1720+62</f>
        <v>1782</v>
      </c>
      <c r="F75" s="114">
        <f>E75*100/B75</f>
        <v>36.909693454846725</v>
      </c>
      <c r="G75" s="44">
        <f>238905+17607</f>
        <v>256512</v>
      </c>
    </row>
    <row r="76" spans="1:7" ht="12.75">
      <c r="A76" s="95">
        <v>43190</v>
      </c>
      <c r="B76" s="68">
        <v>4859</v>
      </c>
      <c r="C76" s="39">
        <f>'Tabell 2'!D76+'Tabell 3'!D76</f>
        <v>5307867</v>
      </c>
      <c r="D76" s="30">
        <f>C76/B76</f>
        <v>1092.3784729368183</v>
      </c>
      <c r="E76" s="44">
        <f>1593+58</f>
        <v>1651</v>
      </c>
      <c r="F76" s="114">
        <f>E76*100/B76</f>
        <v>33.97818481168965</v>
      </c>
      <c r="G76" s="44">
        <f>237978+20365</f>
        <v>258343</v>
      </c>
    </row>
    <row r="77" spans="1:7" ht="12.75">
      <c r="A77" s="95">
        <v>43281</v>
      </c>
      <c r="B77" s="68">
        <v>4872</v>
      </c>
      <c r="C77" s="39">
        <f>'Tabell 2'!D77+'Tabell 3'!D77</f>
        <v>5316782</v>
      </c>
      <c r="D77" s="30">
        <f>C77/B77</f>
        <v>1091.2935139573071</v>
      </c>
      <c r="E77" s="44">
        <f>1510+81</f>
        <v>1591</v>
      </c>
      <c r="F77" s="114">
        <f>E77*100/B77</f>
        <v>32.6559934318555</v>
      </c>
      <c r="G77" s="44">
        <f>224282+20398</f>
        <v>244680</v>
      </c>
    </row>
    <row r="78" spans="1:7" ht="12.75">
      <c r="A78" s="95">
        <v>43373</v>
      </c>
      <c r="B78" s="68">
        <v>4907</v>
      </c>
      <c r="C78" s="39">
        <f>'Tabell 2'!D78+'Tabell 3'!D78</f>
        <v>5326699</v>
      </c>
      <c r="D78" s="30">
        <f>C78/B78</f>
        <v>1085.5306704707561</v>
      </c>
      <c r="E78" s="44">
        <f>1495+75</f>
        <v>1570</v>
      </c>
      <c r="F78" s="114">
        <f>E78*100/B78</f>
        <v>31.9951090279193</v>
      </c>
      <c r="G78" s="44">
        <f>226074+24296</f>
        <v>250370</v>
      </c>
    </row>
    <row r="79" spans="1:7" ht="12.75">
      <c r="A79" s="95">
        <v>43465</v>
      </c>
      <c r="B79" s="68">
        <v>4914</v>
      </c>
      <c r="C79" s="39">
        <f>'Tabell 2'!D79+'Tabell 3'!D79</f>
        <v>5337362</v>
      </c>
      <c r="D79" s="30">
        <f>C79/B79</f>
        <v>1086.1542531542532</v>
      </c>
      <c r="E79" s="44">
        <f>1544+82</f>
        <v>1626</v>
      </c>
      <c r="F79" s="114">
        <f>E79*100/B79</f>
        <v>33.08913308913309</v>
      </c>
      <c r="G79" s="44">
        <f>205884+27716</f>
        <v>233600</v>
      </c>
    </row>
    <row r="80" ht="12.75">
      <c r="A80" s="35" t="s">
        <v>55</v>
      </c>
    </row>
    <row r="81" ht="12.75">
      <c r="A81" t="s">
        <v>140</v>
      </c>
    </row>
    <row r="82" ht="12.75">
      <c r="A82" s="35" t="s">
        <v>121</v>
      </c>
    </row>
    <row r="83" ht="12.75">
      <c r="A83" s="35" t="s">
        <v>122</v>
      </c>
    </row>
    <row r="84" ht="12.75">
      <c r="A84" s="94" t="s">
        <v>123</v>
      </c>
    </row>
    <row r="86" ht="12.75">
      <c r="D8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1"/>
  <sheetViews>
    <sheetView zoomScalePageLayoutView="0" workbookViewId="0" topLeftCell="A1">
      <pane ySplit="5" topLeftCell="A33" activePane="bottomLeft" state="frozen"/>
      <selection pane="topLeft" activeCell="A1" sqref="A1"/>
      <selection pane="bottomLeft" activeCell="A77" sqref="A77:H77"/>
    </sheetView>
  </sheetViews>
  <sheetFormatPr defaultColWidth="11.421875" defaultRowHeight="12.75"/>
  <cols>
    <col min="1" max="1" width="11.57421875" style="0" customWidth="1"/>
    <col min="2" max="3" width="10.140625" style="0" customWidth="1"/>
    <col min="4" max="8" width="10.421875" style="0" customWidth="1"/>
    <col min="9" max="9" width="6.00390625" style="0" customWidth="1"/>
    <col min="10" max="12" width="9.7109375" style="0" customWidth="1"/>
  </cols>
  <sheetData>
    <row r="1" ht="12.75">
      <c r="A1" s="27" t="s">
        <v>93</v>
      </c>
    </row>
    <row r="2" spans="1:8" ht="12.75">
      <c r="A2" s="54"/>
      <c r="B2" s="55"/>
      <c r="C2" s="55"/>
      <c r="D2" s="55"/>
      <c r="E2" s="55"/>
      <c r="F2" s="55"/>
      <c r="G2" s="55"/>
      <c r="H2" s="56" t="s">
        <v>24</v>
      </c>
    </row>
    <row r="3" spans="1:10" ht="12.75">
      <c r="A3" s="54"/>
      <c r="B3" s="56" t="s">
        <v>24</v>
      </c>
      <c r="C3" s="56" t="s">
        <v>24</v>
      </c>
      <c r="D3" s="56" t="s">
        <v>24</v>
      </c>
      <c r="E3" s="56" t="s">
        <v>24</v>
      </c>
      <c r="F3" s="56" t="s">
        <v>24</v>
      </c>
      <c r="G3" s="56" t="s">
        <v>24</v>
      </c>
      <c r="H3" s="56" t="s">
        <v>48</v>
      </c>
      <c r="J3" s="56" t="s">
        <v>24</v>
      </c>
    </row>
    <row r="4" spans="1:10" ht="12.75">
      <c r="A4" s="54"/>
      <c r="B4" s="56" t="s">
        <v>92</v>
      </c>
      <c r="C4" s="56" t="s">
        <v>73</v>
      </c>
      <c r="D4" s="56" t="s">
        <v>48</v>
      </c>
      <c r="E4" s="56" t="s">
        <v>48</v>
      </c>
      <c r="F4" s="56" t="s">
        <v>48</v>
      </c>
      <c r="G4" s="56" t="s">
        <v>48</v>
      </c>
      <c r="H4" s="56" t="s">
        <v>88</v>
      </c>
      <c r="J4" s="56" t="s">
        <v>48</v>
      </c>
    </row>
    <row r="5" spans="1:10" ht="12.75">
      <c r="A5" s="102"/>
      <c r="B5" s="78" t="s">
        <v>48</v>
      </c>
      <c r="C5" s="78" t="s">
        <v>48</v>
      </c>
      <c r="D5" s="78" t="s">
        <v>87</v>
      </c>
      <c r="E5" s="78" t="s">
        <v>89</v>
      </c>
      <c r="F5" s="78" t="s">
        <v>90</v>
      </c>
      <c r="G5" s="78" t="s">
        <v>91</v>
      </c>
      <c r="H5" s="103" t="s">
        <v>75</v>
      </c>
      <c r="J5" s="78" t="s">
        <v>113</v>
      </c>
    </row>
    <row r="6" spans="1:10" ht="14.25">
      <c r="A6" s="38" t="s">
        <v>53</v>
      </c>
      <c r="B6" s="107">
        <v>2496</v>
      </c>
      <c r="C6" s="106">
        <f aca="true" t="shared" si="0" ref="C6:C15">J6-B6</f>
        <v>990</v>
      </c>
      <c r="D6" s="107">
        <v>67</v>
      </c>
      <c r="E6" s="107">
        <v>759</v>
      </c>
      <c r="F6" s="107">
        <v>2080</v>
      </c>
      <c r="G6" s="107">
        <v>557</v>
      </c>
      <c r="H6" s="59">
        <f aca="true" t="shared" si="1" ref="H6:H15">J6-D6-E6-F6-G6</f>
        <v>23</v>
      </c>
      <c r="I6" s="32"/>
      <c r="J6" s="107">
        <v>3486</v>
      </c>
    </row>
    <row r="7" spans="1:10" ht="12.75">
      <c r="A7" s="57">
        <v>37072</v>
      </c>
      <c r="B7" s="40">
        <v>2552</v>
      </c>
      <c r="C7" s="58">
        <f t="shared" si="0"/>
        <v>1033</v>
      </c>
      <c r="D7" s="79">
        <v>79</v>
      </c>
      <c r="E7" s="79">
        <v>784</v>
      </c>
      <c r="F7" s="79">
        <v>2098</v>
      </c>
      <c r="G7" s="79">
        <v>596</v>
      </c>
      <c r="H7" s="59">
        <f t="shared" si="1"/>
        <v>28</v>
      </c>
      <c r="I7" s="26"/>
      <c r="J7" s="79">
        <v>3585</v>
      </c>
    </row>
    <row r="8" spans="1:12" ht="12.75">
      <c r="A8" s="57">
        <v>37164</v>
      </c>
      <c r="B8" s="40">
        <v>2581</v>
      </c>
      <c r="C8" s="58">
        <f t="shared" si="0"/>
        <v>1054</v>
      </c>
      <c r="D8" s="40">
        <v>80</v>
      </c>
      <c r="E8" s="40">
        <v>798</v>
      </c>
      <c r="F8" s="40">
        <v>2108</v>
      </c>
      <c r="G8" s="40">
        <v>619</v>
      </c>
      <c r="H8" s="59">
        <f t="shared" si="1"/>
        <v>30</v>
      </c>
      <c r="I8" s="26"/>
      <c r="J8" s="40">
        <v>3635</v>
      </c>
      <c r="L8" s="26"/>
    </row>
    <row r="9" spans="1:10" ht="12.75">
      <c r="A9" s="57">
        <v>37256</v>
      </c>
      <c r="B9" s="40">
        <v>2599</v>
      </c>
      <c r="C9" s="58">
        <f t="shared" si="0"/>
        <v>1062</v>
      </c>
      <c r="D9" s="40">
        <v>73</v>
      </c>
      <c r="E9" s="40">
        <v>798</v>
      </c>
      <c r="F9" s="40">
        <v>2113</v>
      </c>
      <c r="G9" s="40">
        <v>646</v>
      </c>
      <c r="H9" s="59">
        <f t="shared" si="1"/>
        <v>31</v>
      </c>
      <c r="I9" s="26"/>
      <c r="J9" s="40">
        <v>3661</v>
      </c>
    </row>
    <row r="10" spans="1:10" ht="12.75">
      <c r="A10" s="57">
        <v>37346</v>
      </c>
      <c r="B10" s="40">
        <v>2616</v>
      </c>
      <c r="C10" s="58">
        <f t="shared" si="0"/>
        <v>1076</v>
      </c>
      <c r="D10" s="40">
        <v>81</v>
      </c>
      <c r="E10" s="40">
        <v>797</v>
      </c>
      <c r="F10" s="40">
        <v>2120</v>
      </c>
      <c r="G10" s="40">
        <v>665</v>
      </c>
      <c r="H10" s="59">
        <f t="shared" si="1"/>
        <v>29</v>
      </c>
      <c r="I10" s="26"/>
      <c r="J10" s="40">
        <v>3692</v>
      </c>
    </row>
    <row r="11" spans="1:10" ht="12.75">
      <c r="A11" s="70">
        <v>37437</v>
      </c>
      <c r="B11" s="68">
        <v>2618</v>
      </c>
      <c r="C11" s="58">
        <f t="shared" si="0"/>
        <v>1077</v>
      </c>
      <c r="D11" s="68">
        <v>69</v>
      </c>
      <c r="E11" s="68">
        <v>787</v>
      </c>
      <c r="F11" s="68">
        <v>2124</v>
      </c>
      <c r="G11" s="68">
        <v>685</v>
      </c>
      <c r="H11" s="59">
        <f t="shared" si="1"/>
        <v>30</v>
      </c>
      <c r="I11" s="26"/>
      <c r="J11" s="40">
        <v>3695</v>
      </c>
    </row>
    <row r="12" spans="1:10" ht="12.75">
      <c r="A12" s="95">
        <v>37529</v>
      </c>
      <c r="B12" s="44">
        <v>2616</v>
      </c>
      <c r="C12" s="75">
        <f t="shared" si="0"/>
        <v>1089</v>
      </c>
      <c r="D12" s="44">
        <v>64</v>
      </c>
      <c r="E12" s="44">
        <v>787</v>
      </c>
      <c r="F12" s="44">
        <v>2126</v>
      </c>
      <c r="G12" s="44">
        <v>696</v>
      </c>
      <c r="H12" s="96">
        <f t="shared" si="1"/>
        <v>32</v>
      </c>
      <c r="I12" s="26"/>
      <c r="J12" s="40">
        <v>3705</v>
      </c>
    </row>
    <row r="13" spans="1:10" s="16" customFormat="1" ht="12.75">
      <c r="A13" s="69">
        <v>37621</v>
      </c>
      <c r="B13" s="44">
        <v>2613</v>
      </c>
      <c r="C13" s="75">
        <f t="shared" si="0"/>
        <v>1090</v>
      </c>
      <c r="D13" s="44">
        <v>56</v>
      </c>
      <c r="E13" s="44">
        <v>791</v>
      </c>
      <c r="F13" s="44">
        <v>2110</v>
      </c>
      <c r="G13" s="44">
        <v>711</v>
      </c>
      <c r="H13" s="96">
        <f t="shared" si="1"/>
        <v>35</v>
      </c>
      <c r="I13" s="30"/>
      <c r="J13" s="44">
        <v>3703</v>
      </c>
    </row>
    <row r="14" spans="1:10" ht="12.75">
      <c r="A14" s="38">
        <v>37711</v>
      </c>
      <c r="B14" s="44">
        <v>2617</v>
      </c>
      <c r="C14" s="75">
        <f t="shared" si="0"/>
        <v>1091</v>
      </c>
      <c r="D14" s="44">
        <v>55</v>
      </c>
      <c r="E14" s="44">
        <v>792</v>
      </c>
      <c r="F14" s="44">
        <v>2095</v>
      </c>
      <c r="G14" s="44">
        <v>731</v>
      </c>
      <c r="H14" s="96">
        <f t="shared" si="1"/>
        <v>35</v>
      </c>
      <c r="I14" s="30"/>
      <c r="J14" s="44">
        <v>3708</v>
      </c>
    </row>
    <row r="15" spans="1:10" ht="12.75">
      <c r="A15" s="69">
        <v>37802</v>
      </c>
      <c r="B15" s="104">
        <v>2615</v>
      </c>
      <c r="C15" s="75">
        <f t="shared" si="0"/>
        <v>1086</v>
      </c>
      <c r="D15" s="44">
        <v>49</v>
      </c>
      <c r="E15" s="44">
        <v>768</v>
      </c>
      <c r="F15" s="44">
        <v>2102</v>
      </c>
      <c r="G15" s="44">
        <v>747</v>
      </c>
      <c r="H15" s="96">
        <f t="shared" si="1"/>
        <v>35</v>
      </c>
      <c r="I15" s="30"/>
      <c r="J15" s="44">
        <v>3701</v>
      </c>
    </row>
    <row r="16" spans="1:10" ht="12.75">
      <c r="A16" s="69">
        <v>37894</v>
      </c>
      <c r="B16" s="104">
        <v>2616</v>
      </c>
      <c r="C16" s="75">
        <f aca="true" t="shared" si="2" ref="C16:C21">J16-B16</f>
        <v>1095</v>
      </c>
      <c r="D16" s="44">
        <v>43</v>
      </c>
      <c r="E16" s="44">
        <v>779</v>
      </c>
      <c r="F16" s="44">
        <v>2094</v>
      </c>
      <c r="G16" s="44">
        <v>758</v>
      </c>
      <c r="H16" s="96">
        <f aca="true" t="shared" si="3" ref="H16:H21">J16-D16-E16-F16-G16</f>
        <v>37</v>
      </c>
      <c r="I16" s="30"/>
      <c r="J16" s="44">
        <v>3711</v>
      </c>
    </row>
    <row r="17" spans="1:10" ht="12.75">
      <c r="A17" s="69">
        <v>37986</v>
      </c>
      <c r="B17" s="104">
        <v>2621</v>
      </c>
      <c r="C17" s="75">
        <f t="shared" si="2"/>
        <v>1092</v>
      </c>
      <c r="D17" s="44">
        <v>42</v>
      </c>
      <c r="E17" s="44">
        <v>772</v>
      </c>
      <c r="F17" s="44">
        <v>2083</v>
      </c>
      <c r="G17" s="44">
        <v>779</v>
      </c>
      <c r="H17" s="96">
        <f t="shared" si="3"/>
        <v>37</v>
      </c>
      <c r="I17" s="30"/>
      <c r="J17" s="44">
        <v>3713</v>
      </c>
    </row>
    <row r="18" spans="1:10" ht="12.75">
      <c r="A18" s="69">
        <v>38077</v>
      </c>
      <c r="B18" s="104">
        <v>2625</v>
      </c>
      <c r="C18" s="75">
        <f t="shared" si="2"/>
        <v>1102</v>
      </c>
      <c r="D18" s="44">
        <v>47</v>
      </c>
      <c r="E18" s="44">
        <v>771</v>
      </c>
      <c r="F18" s="44">
        <v>2080</v>
      </c>
      <c r="G18" s="44">
        <v>791</v>
      </c>
      <c r="H18" s="96">
        <f t="shared" si="3"/>
        <v>38</v>
      </c>
      <c r="I18" s="30"/>
      <c r="J18" s="44">
        <v>3727</v>
      </c>
    </row>
    <row r="19" spans="1:10" ht="12.75">
      <c r="A19" s="69">
        <v>38168</v>
      </c>
      <c r="B19" s="104">
        <v>2628</v>
      </c>
      <c r="C19" s="75">
        <f t="shared" si="2"/>
        <v>1111</v>
      </c>
      <c r="D19" s="44">
        <v>48</v>
      </c>
      <c r="E19" s="44">
        <v>785</v>
      </c>
      <c r="F19" s="44">
        <v>2045</v>
      </c>
      <c r="G19" s="44">
        <v>820</v>
      </c>
      <c r="H19" s="96">
        <f t="shared" si="3"/>
        <v>41</v>
      </c>
      <c r="I19" s="30"/>
      <c r="J19" s="44">
        <v>3739</v>
      </c>
    </row>
    <row r="20" spans="1:10" ht="12.75">
      <c r="A20" s="69">
        <v>38260</v>
      </c>
      <c r="B20" s="104">
        <v>2627</v>
      </c>
      <c r="C20" s="75">
        <f t="shared" si="2"/>
        <v>1120</v>
      </c>
      <c r="D20" s="44">
        <v>54</v>
      </c>
      <c r="E20" s="44">
        <v>790</v>
      </c>
      <c r="F20" s="44">
        <v>2027</v>
      </c>
      <c r="G20" s="44">
        <v>836</v>
      </c>
      <c r="H20" s="96">
        <f t="shared" si="3"/>
        <v>40</v>
      </c>
      <c r="I20" s="30"/>
      <c r="J20" s="44">
        <v>3747</v>
      </c>
    </row>
    <row r="21" spans="1:10" ht="12.75">
      <c r="A21" s="69">
        <v>38352</v>
      </c>
      <c r="B21" s="104">
        <v>2634</v>
      </c>
      <c r="C21" s="75">
        <f t="shared" si="2"/>
        <v>1121</v>
      </c>
      <c r="D21" s="44">
        <v>52</v>
      </c>
      <c r="E21" s="44">
        <v>782</v>
      </c>
      <c r="F21" s="44">
        <v>2029</v>
      </c>
      <c r="G21" s="44">
        <v>851</v>
      </c>
      <c r="H21" s="96">
        <f t="shared" si="3"/>
        <v>41</v>
      </c>
      <c r="I21" s="30"/>
      <c r="J21" s="44">
        <v>3755</v>
      </c>
    </row>
    <row r="22" spans="1:10" ht="12.75">
      <c r="A22" s="69">
        <v>38442</v>
      </c>
      <c r="B22" s="104">
        <v>2633</v>
      </c>
      <c r="C22" s="75">
        <f aca="true" t="shared" si="4" ref="C22:C27">J22-B22</f>
        <v>1129</v>
      </c>
      <c r="D22" s="44">
        <v>52</v>
      </c>
      <c r="E22" s="44">
        <v>788</v>
      </c>
      <c r="F22" s="44">
        <v>2006</v>
      </c>
      <c r="G22" s="44">
        <v>873</v>
      </c>
      <c r="H22" s="96">
        <f aca="true" t="shared" si="5" ref="H22:H27">J22-D22-E22-F22-G22</f>
        <v>43</v>
      </c>
      <c r="I22" s="30"/>
      <c r="J22" s="44">
        <v>3762</v>
      </c>
    </row>
    <row r="23" spans="1:10" ht="12.75">
      <c r="A23" s="69">
        <v>38533</v>
      </c>
      <c r="B23" s="104">
        <v>2637</v>
      </c>
      <c r="C23" s="75">
        <f t="shared" si="4"/>
        <v>1130</v>
      </c>
      <c r="D23" s="44">
        <v>50</v>
      </c>
      <c r="E23" s="44">
        <v>773</v>
      </c>
      <c r="F23" s="44">
        <v>1996</v>
      </c>
      <c r="G23" s="44">
        <v>900</v>
      </c>
      <c r="H23" s="96">
        <f t="shared" si="5"/>
        <v>48</v>
      </c>
      <c r="I23" s="30"/>
      <c r="J23" s="44">
        <v>3767</v>
      </c>
    </row>
    <row r="24" spans="1:10" ht="12.75">
      <c r="A24" s="69">
        <v>38625</v>
      </c>
      <c r="B24" s="104">
        <v>2624</v>
      </c>
      <c r="C24" s="75">
        <f t="shared" si="4"/>
        <v>1141</v>
      </c>
      <c r="D24" s="44">
        <v>54</v>
      </c>
      <c r="E24" s="44">
        <v>772</v>
      </c>
      <c r="F24" s="44">
        <v>1977</v>
      </c>
      <c r="G24" s="44">
        <v>921</v>
      </c>
      <c r="H24" s="96">
        <f t="shared" si="5"/>
        <v>41</v>
      </c>
      <c r="I24" s="30"/>
      <c r="J24" s="44">
        <v>3765</v>
      </c>
    </row>
    <row r="25" spans="1:10" ht="12.75">
      <c r="A25" s="69">
        <v>38717</v>
      </c>
      <c r="B25" s="104">
        <v>2612</v>
      </c>
      <c r="C25" s="75">
        <f t="shared" si="4"/>
        <v>1145</v>
      </c>
      <c r="D25" s="44">
        <v>44</v>
      </c>
      <c r="E25" s="44">
        <v>791</v>
      </c>
      <c r="F25" s="44">
        <v>1949</v>
      </c>
      <c r="G25" s="44">
        <v>932</v>
      </c>
      <c r="H25" s="96">
        <f t="shared" si="5"/>
        <v>41</v>
      </c>
      <c r="I25" s="30"/>
      <c r="J25" s="44">
        <v>3757</v>
      </c>
    </row>
    <row r="26" spans="1:10" ht="12.75">
      <c r="A26" s="69">
        <v>38807</v>
      </c>
      <c r="B26" s="104">
        <v>2614</v>
      </c>
      <c r="C26" s="75">
        <f t="shared" si="4"/>
        <v>1173</v>
      </c>
      <c r="D26" s="44">
        <v>55</v>
      </c>
      <c r="E26" s="44">
        <v>802</v>
      </c>
      <c r="F26" s="44">
        <v>1930</v>
      </c>
      <c r="G26" s="44">
        <v>957</v>
      </c>
      <c r="H26" s="96">
        <f t="shared" si="5"/>
        <v>43</v>
      </c>
      <c r="I26" s="30"/>
      <c r="J26" s="44">
        <v>3787</v>
      </c>
    </row>
    <row r="27" spans="1:10" ht="12.75">
      <c r="A27" s="69">
        <v>38898</v>
      </c>
      <c r="B27" s="104">
        <v>2620</v>
      </c>
      <c r="C27" s="75">
        <f t="shared" si="4"/>
        <v>1187</v>
      </c>
      <c r="D27" s="44">
        <v>54</v>
      </c>
      <c r="E27" s="44">
        <v>804</v>
      </c>
      <c r="F27" s="44">
        <v>1914</v>
      </c>
      <c r="G27" s="44">
        <v>986</v>
      </c>
      <c r="H27" s="96">
        <f t="shared" si="5"/>
        <v>49</v>
      </c>
      <c r="I27" s="30"/>
      <c r="J27" s="44">
        <v>3807</v>
      </c>
    </row>
    <row r="28" spans="1:10" ht="12.75">
      <c r="A28" s="69">
        <v>38990</v>
      </c>
      <c r="B28" s="104">
        <v>2631</v>
      </c>
      <c r="C28" s="75">
        <f aca="true" t="shared" si="6" ref="C28:C33">J28-B28</f>
        <v>1197</v>
      </c>
      <c r="D28" s="44">
        <v>58</v>
      </c>
      <c r="E28" s="44">
        <v>825</v>
      </c>
      <c r="F28" s="44">
        <v>1895</v>
      </c>
      <c r="G28" s="44">
        <v>1006</v>
      </c>
      <c r="H28" s="96">
        <f aca="true" t="shared" si="7" ref="H28:H33">J28-D28-E28-F28-G28</f>
        <v>44</v>
      </c>
      <c r="I28" s="30"/>
      <c r="J28" s="44">
        <v>3828</v>
      </c>
    </row>
    <row r="29" spans="1:10" ht="12.75">
      <c r="A29" s="69">
        <v>39082</v>
      </c>
      <c r="B29" s="104">
        <v>2637</v>
      </c>
      <c r="C29" s="75">
        <f t="shared" si="6"/>
        <v>1204</v>
      </c>
      <c r="D29" s="44">
        <v>56</v>
      </c>
      <c r="E29" s="44">
        <v>840</v>
      </c>
      <c r="F29" s="44">
        <v>1875</v>
      </c>
      <c r="G29" s="44">
        <v>1023</v>
      </c>
      <c r="H29" s="96">
        <f t="shared" si="7"/>
        <v>47</v>
      </c>
      <c r="I29" s="30"/>
      <c r="J29" s="44">
        <v>3841</v>
      </c>
    </row>
    <row r="30" spans="1:10" ht="12.75">
      <c r="A30" s="69">
        <v>39172</v>
      </c>
      <c r="B30" s="104">
        <v>2637</v>
      </c>
      <c r="C30" s="75">
        <f t="shared" si="6"/>
        <v>1214</v>
      </c>
      <c r="D30" s="44">
        <v>51</v>
      </c>
      <c r="E30" s="44">
        <v>852</v>
      </c>
      <c r="F30" s="44">
        <v>1858</v>
      </c>
      <c r="G30" s="44">
        <v>1041</v>
      </c>
      <c r="H30" s="96">
        <f t="shared" si="7"/>
        <v>49</v>
      </c>
      <c r="I30" s="30"/>
      <c r="J30" s="44">
        <v>3851</v>
      </c>
    </row>
    <row r="31" spans="1:10" ht="12.75">
      <c r="A31" s="69">
        <v>39263</v>
      </c>
      <c r="B31" s="104">
        <v>2633</v>
      </c>
      <c r="C31" s="75">
        <f t="shared" si="6"/>
        <v>1229</v>
      </c>
      <c r="D31" s="44">
        <v>55</v>
      </c>
      <c r="E31" s="44">
        <v>850</v>
      </c>
      <c r="F31" s="44">
        <v>1840</v>
      </c>
      <c r="G31" s="44">
        <v>1066</v>
      </c>
      <c r="H31" s="96">
        <f t="shared" si="7"/>
        <v>51</v>
      </c>
      <c r="I31" s="30"/>
      <c r="J31" s="44">
        <v>3862</v>
      </c>
    </row>
    <row r="32" spans="1:10" ht="12.75">
      <c r="A32" s="69">
        <v>39355</v>
      </c>
      <c r="B32" s="104">
        <v>2632</v>
      </c>
      <c r="C32" s="75">
        <f t="shared" si="6"/>
        <v>1236</v>
      </c>
      <c r="D32" s="44">
        <v>50</v>
      </c>
      <c r="E32" s="44">
        <v>875</v>
      </c>
      <c r="F32" s="44">
        <v>1811</v>
      </c>
      <c r="G32" s="44">
        <v>1082</v>
      </c>
      <c r="H32" s="96">
        <f t="shared" si="7"/>
        <v>50</v>
      </c>
      <c r="I32" s="30"/>
      <c r="J32" s="44">
        <v>3868</v>
      </c>
    </row>
    <row r="33" spans="1:10" ht="12.75">
      <c r="A33" s="69">
        <v>39447</v>
      </c>
      <c r="B33" s="104">
        <v>2638</v>
      </c>
      <c r="C33" s="75">
        <f t="shared" si="6"/>
        <v>1253</v>
      </c>
      <c r="D33" s="44">
        <v>55</v>
      </c>
      <c r="E33" s="44">
        <v>886</v>
      </c>
      <c r="F33" s="44">
        <v>1804</v>
      </c>
      <c r="G33" s="44">
        <v>1092</v>
      </c>
      <c r="H33" s="96">
        <f t="shared" si="7"/>
        <v>54</v>
      </c>
      <c r="I33" s="30"/>
      <c r="J33" s="44">
        <v>3891</v>
      </c>
    </row>
    <row r="34" spans="1:11" ht="12.75">
      <c r="A34" s="69">
        <v>39538</v>
      </c>
      <c r="B34" s="104">
        <v>2643</v>
      </c>
      <c r="C34" s="75">
        <f aca="true" t="shared" si="8" ref="C34:C46">J34-B34</f>
        <v>1278</v>
      </c>
      <c r="D34" s="44">
        <v>53</v>
      </c>
      <c r="E34" s="44">
        <v>902</v>
      </c>
      <c r="F34" s="44">
        <v>1795</v>
      </c>
      <c r="G34" s="44">
        <v>1122</v>
      </c>
      <c r="H34" s="96">
        <f aca="true" t="shared" si="9" ref="H34:H46">J34-D34-E34-F34-G34</f>
        <v>49</v>
      </c>
      <c r="I34" s="30"/>
      <c r="J34" s="44">
        <v>3921</v>
      </c>
      <c r="K34" s="26"/>
    </row>
    <row r="35" spans="1:11" ht="12.75">
      <c r="A35" s="69">
        <v>39629</v>
      </c>
      <c r="B35" s="104">
        <v>2633</v>
      </c>
      <c r="C35" s="75">
        <f t="shared" si="8"/>
        <v>1296</v>
      </c>
      <c r="D35" s="44">
        <v>52</v>
      </c>
      <c r="E35" s="44">
        <v>903</v>
      </c>
      <c r="F35" s="44">
        <v>1759</v>
      </c>
      <c r="G35" s="44">
        <v>1158</v>
      </c>
      <c r="H35" s="96">
        <f t="shared" si="9"/>
        <v>57</v>
      </c>
      <c r="I35" s="30"/>
      <c r="J35" s="44">
        <v>3929</v>
      </c>
      <c r="K35" s="26"/>
    </row>
    <row r="36" spans="1:11" ht="12.75">
      <c r="A36" s="69">
        <v>39721</v>
      </c>
      <c r="B36" s="104">
        <v>2643</v>
      </c>
      <c r="C36" s="75">
        <f t="shared" si="8"/>
        <v>1323</v>
      </c>
      <c r="D36" s="44">
        <v>53</v>
      </c>
      <c r="E36" s="44">
        <v>911</v>
      </c>
      <c r="F36" s="44">
        <v>1761</v>
      </c>
      <c r="G36" s="44">
        <v>1181</v>
      </c>
      <c r="H36" s="96">
        <f t="shared" si="9"/>
        <v>60</v>
      </c>
      <c r="I36" s="30"/>
      <c r="J36" s="44">
        <v>3966</v>
      </c>
      <c r="K36" s="26"/>
    </row>
    <row r="37" spans="1:11" ht="12.75">
      <c r="A37" s="69">
        <v>39813</v>
      </c>
      <c r="B37" s="104">
        <v>2632</v>
      </c>
      <c r="C37" s="75">
        <f t="shared" si="8"/>
        <v>1337</v>
      </c>
      <c r="D37" s="44">
        <v>61</v>
      </c>
      <c r="E37" s="44">
        <v>932</v>
      </c>
      <c r="F37" s="44">
        <v>1714</v>
      </c>
      <c r="G37" s="44">
        <v>1196</v>
      </c>
      <c r="H37" s="96">
        <f t="shared" si="9"/>
        <v>66</v>
      </c>
      <c r="I37" s="30"/>
      <c r="J37" s="44">
        <v>3969</v>
      </c>
      <c r="K37" s="26"/>
    </row>
    <row r="38" spans="1:11" ht="12.75">
      <c r="A38" s="69">
        <v>39903</v>
      </c>
      <c r="B38" s="104">
        <v>2640</v>
      </c>
      <c r="C38" s="75">
        <f t="shared" si="8"/>
        <v>1364</v>
      </c>
      <c r="D38" s="44">
        <v>59</v>
      </c>
      <c r="E38" s="44">
        <v>946</v>
      </c>
      <c r="F38" s="44">
        <v>1723</v>
      </c>
      <c r="G38" s="44">
        <v>1207</v>
      </c>
      <c r="H38" s="96">
        <f t="shared" si="9"/>
        <v>69</v>
      </c>
      <c r="I38" s="30"/>
      <c r="J38" s="44">
        <v>4004</v>
      </c>
      <c r="K38" s="26"/>
    </row>
    <row r="39" spans="1:11" ht="12.75">
      <c r="A39" s="69">
        <v>39994</v>
      </c>
      <c r="B39" s="104">
        <v>2633</v>
      </c>
      <c r="C39" s="75">
        <f t="shared" si="8"/>
        <v>1378</v>
      </c>
      <c r="D39" s="44">
        <f>33+26</f>
        <v>59</v>
      </c>
      <c r="E39" s="44">
        <f>438+512</f>
        <v>950</v>
      </c>
      <c r="F39" s="44">
        <f>660+1039</f>
        <v>1699</v>
      </c>
      <c r="G39" s="44">
        <f>232+999</f>
        <v>1231</v>
      </c>
      <c r="H39" s="96">
        <f t="shared" si="9"/>
        <v>72</v>
      </c>
      <c r="I39" s="30"/>
      <c r="J39" s="44">
        <v>4011</v>
      </c>
      <c r="K39" s="26"/>
    </row>
    <row r="40" spans="1:11" ht="12.75">
      <c r="A40" s="69">
        <v>40086</v>
      </c>
      <c r="B40" s="104">
        <v>2641</v>
      </c>
      <c r="C40" s="75">
        <f t="shared" si="8"/>
        <v>1392</v>
      </c>
      <c r="D40" s="44">
        <f>31+31</f>
        <v>62</v>
      </c>
      <c r="E40" s="44">
        <f>444+512</f>
        <v>956</v>
      </c>
      <c r="F40" s="44">
        <f>662+1030</f>
        <v>1692</v>
      </c>
      <c r="G40" s="44">
        <f>241+1012</f>
        <v>1253</v>
      </c>
      <c r="H40" s="96">
        <f t="shared" si="9"/>
        <v>70</v>
      </c>
      <c r="I40" s="30"/>
      <c r="J40" s="44">
        <v>4033</v>
      </c>
      <c r="K40" s="26"/>
    </row>
    <row r="41" spans="1:11" ht="12.75">
      <c r="A41" s="69">
        <v>40178</v>
      </c>
      <c r="B41" s="104">
        <v>2642</v>
      </c>
      <c r="C41" s="75">
        <f t="shared" si="8"/>
        <v>1407</v>
      </c>
      <c r="D41" s="44">
        <f>25+31</f>
        <v>56</v>
      </c>
      <c r="E41" s="44">
        <f>453+516</f>
        <v>969</v>
      </c>
      <c r="F41" s="44">
        <f>663+1011</f>
        <v>1674</v>
      </c>
      <c r="G41" s="44">
        <f>250+1023</f>
        <v>1273</v>
      </c>
      <c r="H41" s="96">
        <f t="shared" si="9"/>
        <v>77</v>
      </c>
      <c r="I41" s="30"/>
      <c r="J41" s="44">
        <v>4049</v>
      </c>
      <c r="K41" s="26"/>
    </row>
    <row r="42" spans="1:11" ht="12.75">
      <c r="A42" s="69">
        <v>40268</v>
      </c>
      <c r="B42" s="104">
        <v>2649</v>
      </c>
      <c r="C42" s="75">
        <f t="shared" si="8"/>
        <v>1420</v>
      </c>
      <c r="D42" s="44">
        <f>26+27</f>
        <v>53</v>
      </c>
      <c r="E42" s="44">
        <f>466+528</f>
        <v>994</v>
      </c>
      <c r="F42" s="44">
        <f>661+990</f>
        <v>1651</v>
      </c>
      <c r="G42" s="44">
        <f>254+1042</f>
        <v>1296</v>
      </c>
      <c r="H42" s="96">
        <f t="shared" si="9"/>
        <v>75</v>
      </c>
      <c r="I42" s="30"/>
      <c r="J42" s="44">
        <v>4069</v>
      </c>
      <c r="K42" s="26"/>
    </row>
    <row r="43" spans="1:11" ht="12.75">
      <c r="A43" s="69">
        <v>40359</v>
      </c>
      <c r="B43" s="104">
        <v>2658</v>
      </c>
      <c r="C43" s="75">
        <f t="shared" si="8"/>
        <v>1429</v>
      </c>
      <c r="D43" s="44">
        <f>29+26</f>
        <v>55</v>
      </c>
      <c r="E43" s="44">
        <f>462+539</f>
        <v>1001</v>
      </c>
      <c r="F43" s="44">
        <f>663+976</f>
        <v>1639</v>
      </c>
      <c r="G43" s="44">
        <f>265+1049</f>
        <v>1314</v>
      </c>
      <c r="H43" s="96">
        <f t="shared" si="9"/>
        <v>78</v>
      </c>
      <c r="I43" s="30"/>
      <c r="J43" s="44">
        <v>4087</v>
      </c>
      <c r="K43" s="26"/>
    </row>
    <row r="44" spans="1:11" ht="12.75">
      <c r="A44" s="69">
        <v>40451</v>
      </c>
      <c r="B44" s="104">
        <v>2657</v>
      </c>
      <c r="C44" s="75">
        <f t="shared" si="8"/>
        <v>1450</v>
      </c>
      <c r="D44" s="44">
        <f>28+26</f>
        <v>54</v>
      </c>
      <c r="E44" s="44">
        <f>477+544</f>
        <v>1021</v>
      </c>
      <c r="F44" s="44">
        <f>665+965</f>
        <v>1630</v>
      </c>
      <c r="G44" s="44">
        <f>272+1055</f>
        <v>1327</v>
      </c>
      <c r="H44" s="96">
        <f t="shared" si="9"/>
        <v>75</v>
      </c>
      <c r="I44" s="30"/>
      <c r="J44" s="44">
        <v>4107</v>
      </c>
      <c r="K44" s="26"/>
    </row>
    <row r="45" spans="1:11" ht="12.75">
      <c r="A45" s="69">
        <v>40543</v>
      </c>
      <c r="B45" s="104">
        <v>2651</v>
      </c>
      <c r="C45" s="75">
        <f t="shared" si="8"/>
        <v>1458</v>
      </c>
      <c r="D45" s="44">
        <f>22+21</f>
        <v>43</v>
      </c>
      <c r="E45" s="44">
        <f>479+544</f>
        <v>1023</v>
      </c>
      <c r="F45" s="44">
        <f>667+945</f>
        <v>1612</v>
      </c>
      <c r="G45" s="44">
        <f>282+1068</f>
        <v>1350</v>
      </c>
      <c r="H45" s="96">
        <f t="shared" si="9"/>
        <v>81</v>
      </c>
      <c r="I45" s="30"/>
      <c r="J45" s="44">
        <v>4109</v>
      </c>
      <c r="K45" s="26"/>
    </row>
    <row r="46" spans="1:11" ht="12.75">
      <c r="A46" s="69">
        <v>40633</v>
      </c>
      <c r="B46" s="104">
        <v>2664</v>
      </c>
      <c r="C46" s="75">
        <f t="shared" si="8"/>
        <v>1474</v>
      </c>
      <c r="D46" s="44">
        <f>23+21</f>
        <v>44</v>
      </c>
      <c r="E46" s="44">
        <f>491+551</f>
        <v>1042</v>
      </c>
      <c r="F46" s="44">
        <f>663+947</f>
        <v>1610</v>
      </c>
      <c r="G46" s="44">
        <f>289+1068</f>
        <v>1357</v>
      </c>
      <c r="H46" s="96">
        <f t="shared" si="9"/>
        <v>85</v>
      </c>
      <c r="I46" s="30"/>
      <c r="J46" s="44">
        <v>4138</v>
      </c>
      <c r="K46" s="26"/>
    </row>
    <row r="47" spans="1:11" ht="12.75">
      <c r="A47" s="69">
        <v>40724</v>
      </c>
      <c r="B47" s="104">
        <v>2664</v>
      </c>
      <c r="C47" s="75">
        <f aca="true" t="shared" si="10" ref="C47:C53">J47-B47</f>
        <v>1498</v>
      </c>
      <c r="D47" s="44">
        <f>26+24</f>
        <v>50</v>
      </c>
      <c r="E47" s="44">
        <f>491+556</f>
        <v>1047</v>
      </c>
      <c r="F47" s="44">
        <f>676+929</f>
        <v>1605</v>
      </c>
      <c r="G47" s="44">
        <f>298+1072</f>
        <v>1370</v>
      </c>
      <c r="H47" s="96">
        <f aca="true" t="shared" si="11" ref="H47:H53">J47-D47-E47-F47-G47</f>
        <v>90</v>
      </c>
      <c r="I47" s="30"/>
      <c r="J47" s="44">
        <v>4162</v>
      </c>
      <c r="K47" s="26"/>
    </row>
    <row r="48" spans="1:11" ht="12.75">
      <c r="A48" s="69">
        <v>40816</v>
      </c>
      <c r="B48" s="104">
        <v>2668</v>
      </c>
      <c r="C48" s="75">
        <f t="shared" si="10"/>
        <v>1511</v>
      </c>
      <c r="D48" s="44">
        <f>28+25</f>
        <v>53</v>
      </c>
      <c r="E48" s="44">
        <f>496+561</f>
        <v>1057</v>
      </c>
      <c r="F48" s="44">
        <f>675+917</f>
        <v>1592</v>
      </c>
      <c r="G48" s="44">
        <f>305+1072</f>
        <v>1377</v>
      </c>
      <c r="H48" s="96">
        <f t="shared" si="11"/>
        <v>100</v>
      </c>
      <c r="I48" s="30"/>
      <c r="J48" s="44">
        <v>4179</v>
      </c>
      <c r="K48" s="26"/>
    </row>
    <row r="49" spans="1:11" ht="12.75">
      <c r="A49" s="69">
        <v>40908</v>
      </c>
      <c r="B49" s="104">
        <v>2661</v>
      </c>
      <c r="C49" s="75">
        <f t="shared" si="10"/>
        <v>1528</v>
      </c>
      <c r="D49" s="44">
        <f>25+22</f>
        <v>47</v>
      </c>
      <c r="E49" s="44">
        <f>504+560</f>
        <v>1064</v>
      </c>
      <c r="F49" s="44">
        <f>679+909</f>
        <v>1588</v>
      </c>
      <c r="G49" s="44">
        <f>312+1075</f>
        <v>1387</v>
      </c>
      <c r="H49" s="96">
        <f t="shared" si="11"/>
        <v>103</v>
      </c>
      <c r="I49" s="30"/>
      <c r="J49" s="44">
        <v>4189</v>
      </c>
      <c r="K49" s="26"/>
    </row>
    <row r="50" spans="1:11" ht="12.75">
      <c r="A50" s="69">
        <v>40999</v>
      </c>
      <c r="B50" s="104">
        <v>2676</v>
      </c>
      <c r="C50" s="75">
        <f t="shared" si="10"/>
        <v>1543</v>
      </c>
      <c r="D50" s="44">
        <f>22+24</f>
        <v>46</v>
      </c>
      <c r="E50" s="44">
        <f>513+573</f>
        <v>1086</v>
      </c>
      <c r="F50" s="44">
        <f>688+910</f>
        <v>1598</v>
      </c>
      <c r="G50" s="44">
        <f>311+1075</f>
        <v>1386</v>
      </c>
      <c r="H50" s="96">
        <f t="shared" si="11"/>
        <v>103</v>
      </c>
      <c r="I50" s="30"/>
      <c r="J50" s="44">
        <v>4219</v>
      </c>
      <c r="K50" s="26"/>
    </row>
    <row r="51" spans="1:11" ht="12.75">
      <c r="A51" s="69">
        <v>41090</v>
      </c>
      <c r="B51" s="104">
        <v>2675</v>
      </c>
      <c r="C51" s="75">
        <f t="shared" si="10"/>
        <v>1565</v>
      </c>
      <c r="D51" s="44">
        <f>21+26</f>
        <v>47</v>
      </c>
      <c r="E51" s="44">
        <f>527+567</f>
        <v>1094</v>
      </c>
      <c r="F51" s="44">
        <f>686+909</f>
        <v>1595</v>
      </c>
      <c r="G51" s="44">
        <f>321+1071</f>
        <v>1392</v>
      </c>
      <c r="H51" s="96">
        <f t="shared" si="11"/>
        <v>112</v>
      </c>
      <c r="I51" s="30"/>
      <c r="J51" s="44">
        <v>4240</v>
      </c>
      <c r="K51" s="26"/>
    </row>
    <row r="52" spans="1:11" ht="12.75">
      <c r="A52" s="69">
        <v>41182</v>
      </c>
      <c r="B52" s="104">
        <v>2670</v>
      </c>
      <c r="C52" s="75">
        <f t="shared" si="10"/>
        <v>1587</v>
      </c>
      <c r="D52" s="44">
        <f>27+27</f>
        <v>54</v>
      </c>
      <c r="E52" s="44">
        <f>533+569</f>
        <v>1102</v>
      </c>
      <c r="F52" s="44">
        <f>692+896</f>
        <v>1588</v>
      </c>
      <c r="G52" s="44">
        <f>320+1074</f>
        <v>1394</v>
      </c>
      <c r="H52" s="96">
        <f t="shared" si="11"/>
        <v>119</v>
      </c>
      <c r="I52" s="30"/>
      <c r="J52" s="44">
        <v>4257</v>
      </c>
      <c r="K52" s="26"/>
    </row>
    <row r="53" spans="1:11" ht="12.75">
      <c r="A53" s="69">
        <v>41274</v>
      </c>
      <c r="B53" s="104">
        <v>2672</v>
      </c>
      <c r="C53" s="75">
        <f t="shared" si="10"/>
        <v>1607</v>
      </c>
      <c r="D53" s="44">
        <f>32+32</f>
        <v>64</v>
      </c>
      <c r="E53" s="44">
        <f>537+575</f>
        <v>1112</v>
      </c>
      <c r="F53" s="44">
        <f>698+893</f>
        <v>1591</v>
      </c>
      <c r="G53" s="44">
        <f>328+1072</f>
        <v>1400</v>
      </c>
      <c r="H53" s="96">
        <f t="shared" si="11"/>
        <v>112</v>
      </c>
      <c r="I53" s="30"/>
      <c r="J53" s="44">
        <v>4279</v>
      </c>
      <c r="K53" s="26"/>
    </row>
    <row r="54" spans="1:11" ht="12.75">
      <c r="A54" s="69">
        <v>41364</v>
      </c>
      <c r="B54" s="104">
        <v>2666</v>
      </c>
      <c r="C54" s="75">
        <f aca="true" t="shared" si="12" ref="C54:C59">J54-B54</f>
        <v>1627</v>
      </c>
      <c r="D54" s="44">
        <f>34+29</f>
        <v>63</v>
      </c>
      <c r="E54" s="44">
        <f>548+567</f>
        <v>1115</v>
      </c>
      <c r="F54" s="44">
        <f>697+900</f>
        <v>1597</v>
      </c>
      <c r="G54" s="44">
        <f>335+1075</f>
        <v>1410</v>
      </c>
      <c r="H54" s="96">
        <f aca="true" t="shared" si="13" ref="H54:H59">J54-D54-E54-F54-G54</f>
        <v>108</v>
      </c>
      <c r="I54" s="30"/>
      <c r="J54" s="44">
        <v>4293</v>
      </c>
      <c r="K54" s="26"/>
    </row>
    <row r="55" spans="1:11" ht="12.75">
      <c r="A55" s="69">
        <v>41455</v>
      </c>
      <c r="B55" s="104">
        <v>2680</v>
      </c>
      <c r="C55" s="75">
        <f t="shared" si="12"/>
        <v>1636</v>
      </c>
      <c r="D55" s="44">
        <f>35+28</f>
        <v>63</v>
      </c>
      <c r="E55" s="44">
        <f>538+577</f>
        <v>1115</v>
      </c>
      <c r="F55" s="44">
        <f>709+900</f>
        <v>1609</v>
      </c>
      <c r="G55" s="44">
        <f>340+1078</f>
        <v>1418</v>
      </c>
      <c r="H55" s="96">
        <f t="shared" si="13"/>
        <v>111</v>
      </c>
      <c r="I55" s="30"/>
      <c r="J55" s="44">
        <v>4316</v>
      </c>
      <c r="K55" s="26"/>
    </row>
    <row r="56" spans="1:11" ht="12.75">
      <c r="A56" s="69">
        <v>41547</v>
      </c>
      <c r="B56" s="104">
        <v>2695</v>
      </c>
      <c r="C56" s="75">
        <f t="shared" si="12"/>
        <v>1668</v>
      </c>
      <c r="D56" s="44">
        <f>37+36</f>
        <v>73</v>
      </c>
      <c r="E56" s="44">
        <f>554+589</f>
        <v>1143</v>
      </c>
      <c r="F56" s="44">
        <f>718+901</f>
        <v>1619</v>
      </c>
      <c r="G56" s="44">
        <f>343+1072</f>
        <v>1415</v>
      </c>
      <c r="H56" s="96">
        <f t="shared" si="13"/>
        <v>113</v>
      </c>
      <c r="I56" s="30"/>
      <c r="J56" s="44">
        <v>4363</v>
      </c>
      <c r="K56" s="26"/>
    </row>
    <row r="57" spans="1:11" ht="12.75">
      <c r="A57" s="69">
        <v>41639</v>
      </c>
      <c r="B57" s="104">
        <v>2694</v>
      </c>
      <c r="C57" s="75">
        <f t="shared" si="12"/>
        <v>1693</v>
      </c>
      <c r="D57" s="44">
        <f>40+41</f>
        <v>81</v>
      </c>
      <c r="E57" s="44">
        <f>574+592</f>
        <v>1166</v>
      </c>
      <c r="F57" s="44">
        <f>715+898</f>
        <v>1613</v>
      </c>
      <c r="G57" s="44">
        <f>347+1061</f>
        <v>1408</v>
      </c>
      <c r="H57" s="96">
        <f t="shared" si="13"/>
        <v>119</v>
      </c>
      <c r="I57" s="30"/>
      <c r="J57" s="44">
        <v>4387</v>
      </c>
      <c r="K57" s="26"/>
    </row>
    <row r="58" spans="1:11" ht="12.75">
      <c r="A58" s="69">
        <v>41729</v>
      </c>
      <c r="B58" s="104">
        <v>2704</v>
      </c>
      <c r="C58" s="75">
        <f t="shared" si="12"/>
        <v>1726</v>
      </c>
      <c r="D58" s="44">
        <f>49+44</f>
        <v>93</v>
      </c>
      <c r="E58" s="44">
        <f>594+598</f>
        <v>1192</v>
      </c>
      <c r="F58" s="44">
        <f>714+903</f>
        <v>1617</v>
      </c>
      <c r="G58" s="44">
        <f>352+1059</f>
        <v>1411</v>
      </c>
      <c r="H58" s="96">
        <f t="shared" si="13"/>
        <v>117</v>
      </c>
      <c r="I58" s="30"/>
      <c r="J58" s="44">
        <v>4430</v>
      </c>
      <c r="K58" s="26"/>
    </row>
    <row r="59" spans="1:11" ht="12.75">
      <c r="A59" s="69">
        <v>41820</v>
      </c>
      <c r="B59" s="104">
        <v>2714</v>
      </c>
      <c r="C59" s="75">
        <f t="shared" si="12"/>
        <v>1761</v>
      </c>
      <c r="D59" s="44">
        <f>51+39</f>
        <v>90</v>
      </c>
      <c r="E59" s="44">
        <f>610+600</f>
        <v>1210</v>
      </c>
      <c r="F59" s="44">
        <f>717+923</f>
        <v>1640</v>
      </c>
      <c r="G59" s="44">
        <f>361+1050</f>
        <v>1411</v>
      </c>
      <c r="H59" s="96">
        <f t="shared" si="13"/>
        <v>124</v>
      </c>
      <c r="I59" s="30"/>
      <c r="J59" s="44">
        <v>4475</v>
      </c>
      <c r="K59" s="26"/>
    </row>
    <row r="60" spans="1:11" ht="12.75">
      <c r="A60" s="69">
        <v>41912</v>
      </c>
      <c r="B60" s="104">
        <v>2711</v>
      </c>
      <c r="C60" s="75">
        <f aca="true" t="shared" si="14" ref="C60:C65">J60-B60</f>
        <v>1784</v>
      </c>
      <c r="D60" s="44">
        <f>44+39</f>
        <v>83</v>
      </c>
      <c r="E60" s="44">
        <f>627+611</f>
        <v>1238</v>
      </c>
      <c r="F60" s="44">
        <f>729+930</f>
        <v>1659</v>
      </c>
      <c r="G60" s="44">
        <f>361+1030</f>
        <v>1391</v>
      </c>
      <c r="H60" s="96">
        <f aca="true" t="shared" si="15" ref="H60:H65">J60-D60-E60-F60-G60</f>
        <v>124</v>
      </c>
      <c r="I60" s="30"/>
      <c r="J60" s="44">
        <v>4495</v>
      </c>
      <c r="K60" s="26"/>
    </row>
    <row r="61" spans="1:11" ht="12.75">
      <c r="A61" s="69">
        <v>42004</v>
      </c>
      <c r="B61" s="104">
        <v>2712</v>
      </c>
      <c r="C61" s="75">
        <f t="shared" si="14"/>
        <v>1800</v>
      </c>
      <c r="D61" s="44">
        <f>42+36</f>
        <v>78</v>
      </c>
      <c r="E61" s="44">
        <f>631+615</f>
        <v>1246</v>
      </c>
      <c r="F61" s="44">
        <f>740+928</f>
        <v>1668</v>
      </c>
      <c r="G61" s="44">
        <f>361+1026</f>
        <v>1387</v>
      </c>
      <c r="H61" s="96">
        <f t="shared" si="15"/>
        <v>133</v>
      </c>
      <c r="I61" s="30"/>
      <c r="J61" s="44">
        <v>4512</v>
      </c>
      <c r="K61" s="26"/>
    </row>
    <row r="62" spans="1:11" ht="12.75">
      <c r="A62" s="69">
        <v>42094</v>
      </c>
      <c r="B62" s="104">
        <v>2723</v>
      </c>
      <c r="C62" s="75">
        <f t="shared" si="14"/>
        <v>1814</v>
      </c>
      <c r="D62" s="44">
        <f>27+17</f>
        <v>44</v>
      </c>
      <c r="E62" s="44">
        <f>591+595</f>
        <v>1186</v>
      </c>
      <c r="F62" s="44">
        <f>779+914</f>
        <v>1693</v>
      </c>
      <c r="G62" s="44">
        <f>384+1034</f>
        <v>1418</v>
      </c>
      <c r="H62" s="96">
        <f t="shared" si="15"/>
        <v>196</v>
      </c>
      <c r="I62" s="30"/>
      <c r="J62" s="44">
        <v>4537</v>
      </c>
      <c r="K62" s="26"/>
    </row>
    <row r="63" spans="1:11" ht="12.75">
      <c r="A63" s="69">
        <v>42185</v>
      </c>
      <c r="B63" s="104">
        <v>2734</v>
      </c>
      <c r="C63" s="75">
        <f t="shared" si="14"/>
        <v>1829</v>
      </c>
      <c r="D63" s="44">
        <f>28+21</f>
        <v>49</v>
      </c>
      <c r="E63" s="44">
        <f>610+614</f>
        <v>1224</v>
      </c>
      <c r="F63" s="44">
        <f>777+915</f>
        <v>1692</v>
      </c>
      <c r="G63" s="44">
        <f>381+1031</f>
        <v>1412</v>
      </c>
      <c r="H63" s="96">
        <f t="shared" si="15"/>
        <v>186</v>
      </c>
      <c r="I63" s="30"/>
      <c r="J63" s="44">
        <v>4563</v>
      </c>
      <c r="K63" s="26"/>
    </row>
    <row r="64" spans="1:11" ht="12.75">
      <c r="A64" s="69">
        <v>42277</v>
      </c>
      <c r="B64" s="104">
        <v>2723</v>
      </c>
      <c r="C64" s="75">
        <f t="shared" si="14"/>
        <v>1850</v>
      </c>
      <c r="D64" s="44">
        <f>35+30</f>
        <v>65</v>
      </c>
      <c r="E64" s="44">
        <f>633+624</f>
        <v>1257</v>
      </c>
      <c r="F64" s="44">
        <f>776+912</f>
        <v>1688</v>
      </c>
      <c r="G64" s="44">
        <f>378+1023</f>
        <v>1401</v>
      </c>
      <c r="H64" s="96">
        <f t="shared" si="15"/>
        <v>162</v>
      </c>
      <c r="I64" s="30"/>
      <c r="J64" s="44">
        <v>4573</v>
      </c>
      <c r="K64" s="26"/>
    </row>
    <row r="65" spans="1:11" ht="12.75">
      <c r="A65" s="69">
        <v>42369</v>
      </c>
      <c r="B65" s="104">
        <v>2712</v>
      </c>
      <c r="C65" s="75">
        <f t="shared" si="14"/>
        <v>1873</v>
      </c>
      <c r="D65" s="44">
        <f>40+39</f>
        <v>79</v>
      </c>
      <c r="E65" s="44">
        <f>656+622</f>
        <v>1278</v>
      </c>
      <c r="F65" s="44">
        <f>772+906</f>
        <v>1678</v>
      </c>
      <c r="G65" s="44">
        <f>378+1020</f>
        <v>1398</v>
      </c>
      <c r="H65" s="96">
        <f t="shared" si="15"/>
        <v>152</v>
      </c>
      <c r="I65" s="30"/>
      <c r="J65" s="44">
        <v>4585</v>
      </c>
      <c r="K65" s="26"/>
    </row>
    <row r="66" spans="1:11" ht="12.75">
      <c r="A66" s="69">
        <v>42460</v>
      </c>
      <c r="B66" s="104">
        <v>2718</v>
      </c>
      <c r="C66" s="75">
        <f aca="true" t="shared" si="16" ref="C66:C71">J66-B66</f>
        <v>1888</v>
      </c>
      <c r="D66" s="44">
        <f>21+25</f>
        <v>46</v>
      </c>
      <c r="E66" s="44">
        <f>621+576</f>
        <v>1197</v>
      </c>
      <c r="F66" s="44">
        <f>801+927</f>
        <v>1728</v>
      </c>
      <c r="G66" s="44">
        <f>409+1010</f>
        <v>1419</v>
      </c>
      <c r="H66" s="96">
        <f aca="true" t="shared" si="17" ref="H66:H71">J66-D66-E66-F66-G66</f>
        <v>216</v>
      </c>
      <c r="I66" s="30"/>
      <c r="J66" s="44">
        <v>4606</v>
      </c>
      <c r="K66" s="26"/>
    </row>
    <row r="67" spans="1:11" ht="12.75">
      <c r="A67" s="69">
        <v>42551</v>
      </c>
      <c r="B67" s="104">
        <v>2720</v>
      </c>
      <c r="C67" s="75">
        <f t="shared" si="16"/>
        <v>1923</v>
      </c>
      <c r="D67" s="44">
        <v>57</v>
      </c>
      <c r="E67" s="44">
        <v>1247</v>
      </c>
      <c r="F67" s="44">
        <v>1731</v>
      </c>
      <c r="G67" s="44">
        <v>1409</v>
      </c>
      <c r="H67" s="96">
        <f t="shared" si="17"/>
        <v>199</v>
      </c>
      <c r="I67" s="30"/>
      <c r="J67" s="44">
        <v>4643</v>
      </c>
      <c r="K67" s="26"/>
    </row>
    <row r="68" spans="1:11" ht="12.75">
      <c r="A68" s="69">
        <v>42643</v>
      </c>
      <c r="B68" s="104">
        <v>2730</v>
      </c>
      <c r="C68" s="75">
        <f t="shared" si="16"/>
        <v>1934</v>
      </c>
      <c r="D68" s="44">
        <v>67</v>
      </c>
      <c r="E68" s="44">
        <v>1297</v>
      </c>
      <c r="F68" s="44">
        <v>1726</v>
      </c>
      <c r="G68" s="44">
        <v>1391</v>
      </c>
      <c r="H68" s="96">
        <f t="shared" si="17"/>
        <v>183</v>
      </c>
      <c r="I68" s="30"/>
      <c r="J68" s="44">
        <v>4664</v>
      </c>
      <c r="K68" s="26"/>
    </row>
    <row r="69" spans="1:11" ht="12.75">
      <c r="A69" s="69">
        <v>42735</v>
      </c>
      <c r="B69" s="104">
        <v>2709</v>
      </c>
      <c r="C69" s="75">
        <f t="shared" si="16"/>
        <v>1935</v>
      </c>
      <c r="D69" s="44">
        <v>83</v>
      </c>
      <c r="E69" s="44">
        <v>1298</v>
      </c>
      <c r="F69" s="44">
        <v>1716</v>
      </c>
      <c r="G69" s="44">
        <v>1379</v>
      </c>
      <c r="H69" s="96">
        <f t="shared" si="17"/>
        <v>168</v>
      </c>
      <c r="I69" s="30"/>
      <c r="J69" s="44">
        <v>4644</v>
      </c>
      <c r="K69" s="26"/>
    </row>
    <row r="70" spans="1:11" ht="12.75">
      <c r="A70" s="69">
        <v>42825</v>
      </c>
      <c r="B70" s="104">
        <v>2723</v>
      </c>
      <c r="C70" s="75">
        <f t="shared" si="16"/>
        <v>1943</v>
      </c>
      <c r="D70" s="44">
        <f>27+24</f>
        <v>51</v>
      </c>
      <c r="E70" s="44">
        <f>616+595</f>
        <v>1211</v>
      </c>
      <c r="F70" s="44">
        <f>846+940</f>
        <v>1786</v>
      </c>
      <c r="G70" s="44">
        <f>417+954</f>
        <v>1371</v>
      </c>
      <c r="H70" s="96">
        <f t="shared" si="17"/>
        <v>247</v>
      </c>
      <c r="I70" s="30"/>
      <c r="J70" s="44">
        <v>4666</v>
      </c>
      <c r="K70" s="26"/>
    </row>
    <row r="71" spans="1:11" ht="12.75">
      <c r="A71" s="69">
        <v>42916</v>
      </c>
      <c r="B71" s="104">
        <v>2725</v>
      </c>
      <c r="C71" s="75">
        <f t="shared" si="16"/>
        <v>1962</v>
      </c>
      <c r="D71" s="44">
        <f>37+31</f>
        <v>68</v>
      </c>
      <c r="E71" s="44">
        <f>633+615</f>
        <v>1248</v>
      </c>
      <c r="F71" s="44">
        <f>845+939</f>
        <v>1784</v>
      </c>
      <c r="G71" s="44">
        <f>415+947</f>
        <v>1362</v>
      </c>
      <c r="H71" s="96">
        <f t="shared" si="17"/>
        <v>225</v>
      </c>
      <c r="I71" s="30"/>
      <c r="J71" s="44">
        <v>4687</v>
      </c>
      <c r="K71" s="26"/>
    </row>
    <row r="72" spans="1:11" ht="12.75">
      <c r="A72" s="69">
        <v>43008</v>
      </c>
      <c r="B72" s="104">
        <v>2729</v>
      </c>
      <c r="C72" s="75">
        <f aca="true" t="shared" si="18" ref="C72:C77">J72-B72</f>
        <v>1987</v>
      </c>
      <c r="D72" s="44">
        <f>50+36</f>
        <v>86</v>
      </c>
      <c r="E72" s="44">
        <f>649+640</f>
        <v>1289</v>
      </c>
      <c r="F72" s="44">
        <f>850+937</f>
        <v>1787</v>
      </c>
      <c r="G72" s="44">
        <f>409+943</f>
        <v>1352</v>
      </c>
      <c r="H72" s="96">
        <f aca="true" t="shared" si="19" ref="H72:H77">J72-D72-E72-F72-G72</f>
        <v>202</v>
      </c>
      <c r="I72" s="30"/>
      <c r="J72" s="44">
        <v>4716</v>
      </c>
      <c r="K72" s="26"/>
    </row>
    <row r="73" spans="1:11" ht="12.75">
      <c r="A73" s="69">
        <v>43100</v>
      </c>
      <c r="B73" s="104">
        <v>2743</v>
      </c>
      <c r="C73" s="75">
        <f t="shared" si="18"/>
        <v>1997</v>
      </c>
      <c r="D73" s="44">
        <f>56+40</f>
        <v>96</v>
      </c>
      <c r="E73" s="44">
        <f>660+658</f>
        <v>1318</v>
      </c>
      <c r="F73" s="44">
        <f>850+941</f>
        <v>1791</v>
      </c>
      <c r="G73" s="44">
        <f>406+939</f>
        <v>1345</v>
      </c>
      <c r="H73" s="96">
        <f t="shared" si="19"/>
        <v>190</v>
      </c>
      <c r="I73" s="30"/>
      <c r="J73" s="44">
        <v>4740</v>
      </c>
      <c r="K73" s="26"/>
    </row>
    <row r="74" spans="1:11" ht="12.75">
      <c r="A74" s="69">
        <v>43190</v>
      </c>
      <c r="B74" s="104">
        <v>2734</v>
      </c>
      <c r="C74" s="75">
        <f t="shared" si="18"/>
        <v>2018</v>
      </c>
      <c r="D74" s="44">
        <f>33+28</f>
        <v>61</v>
      </c>
      <c r="E74" s="44">
        <f>627+607</f>
        <v>1234</v>
      </c>
      <c r="F74" s="44">
        <f>894+964</f>
        <v>1858</v>
      </c>
      <c r="G74" s="44">
        <f>429+913</f>
        <v>1342</v>
      </c>
      <c r="H74" s="96">
        <f t="shared" si="19"/>
        <v>257</v>
      </c>
      <c r="I74" s="30"/>
      <c r="J74" s="44">
        <v>4752</v>
      </c>
      <c r="K74" s="26"/>
    </row>
    <row r="75" spans="1:11" ht="12.75">
      <c r="A75" s="69">
        <v>43281</v>
      </c>
      <c r="B75" s="104">
        <v>2723</v>
      </c>
      <c r="C75" s="75">
        <f t="shared" si="18"/>
        <v>2030</v>
      </c>
      <c r="D75" s="44">
        <f>36+32</f>
        <v>68</v>
      </c>
      <c r="E75" s="44">
        <f>644+621</f>
        <v>1265</v>
      </c>
      <c r="F75" s="44">
        <f>889+966</f>
        <v>1855</v>
      </c>
      <c r="G75" s="44">
        <f>428+902</f>
        <v>1330</v>
      </c>
      <c r="H75" s="96">
        <f t="shared" si="19"/>
        <v>235</v>
      </c>
      <c r="I75" s="30"/>
      <c r="J75" s="44">
        <v>4753</v>
      </c>
      <c r="K75" s="26"/>
    </row>
    <row r="76" spans="1:11" ht="12.75">
      <c r="A76" s="69">
        <v>43373</v>
      </c>
      <c r="B76" s="104">
        <v>2709</v>
      </c>
      <c r="C76" s="75">
        <f t="shared" si="18"/>
        <v>2064</v>
      </c>
      <c r="D76" s="44">
        <f>45+39</f>
        <v>84</v>
      </c>
      <c r="E76" s="44">
        <f>674+634</f>
        <v>1308</v>
      </c>
      <c r="F76" s="44">
        <f>894+963</f>
        <v>1857</v>
      </c>
      <c r="G76" s="44">
        <f>422+891</f>
        <v>1313</v>
      </c>
      <c r="H76" s="96">
        <f t="shared" si="19"/>
        <v>211</v>
      </c>
      <c r="I76" s="30"/>
      <c r="J76" s="44">
        <v>4773</v>
      </c>
      <c r="K76" s="26"/>
    </row>
    <row r="77" spans="1:11" ht="12.75">
      <c r="A77" s="69">
        <v>43465</v>
      </c>
      <c r="B77" s="104">
        <v>2706</v>
      </c>
      <c r="C77" s="75">
        <f t="shared" si="18"/>
        <v>2081</v>
      </c>
      <c r="D77" s="44">
        <f>52+44</f>
        <v>96</v>
      </c>
      <c r="E77" s="44">
        <f>686+647</f>
        <v>1333</v>
      </c>
      <c r="F77" s="44">
        <f>898+966</f>
        <v>1864</v>
      </c>
      <c r="G77" s="44">
        <f>418+882</f>
        <v>1300</v>
      </c>
      <c r="H77" s="96">
        <f t="shared" si="19"/>
        <v>194</v>
      </c>
      <c r="I77" s="30"/>
      <c r="J77" s="44">
        <v>4787</v>
      </c>
      <c r="K77" s="26"/>
    </row>
    <row r="78" ht="12.75">
      <c r="A78" s="35" t="s">
        <v>55</v>
      </c>
    </row>
    <row r="79" spans="2:8" ht="12.75">
      <c r="B79" s="26"/>
      <c r="C79" s="58"/>
      <c r="H79" s="58"/>
    </row>
    <row r="80" spans="2:8" ht="12.75">
      <c r="B80" s="60"/>
      <c r="C80" s="58"/>
      <c r="H80" s="58"/>
    </row>
    <row r="81" spans="2:8" ht="12.75">
      <c r="B81" s="29"/>
      <c r="C81" s="39"/>
      <c r="H81" s="3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6"/>
  <sheetViews>
    <sheetView zoomScalePageLayoutView="0" workbookViewId="0" topLeftCell="A1">
      <pane ySplit="11" topLeftCell="A51" activePane="bottomLeft" state="frozen"/>
      <selection pane="topLeft" activeCell="A1" sqref="A1"/>
      <selection pane="bottomLeft" activeCell="A84" sqref="A84:G84"/>
    </sheetView>
  </sheetViews>
  <sheetFormatPr defaultColWidth="11.421875" defaultRowHeight="12.75"/>
  <cols>
    <col min="1" max="1" width="11.00390625" style="0" customWidth="1"/>
    <col min="2" max="2" width="9.28125" style="0" customWidth="1"/>
    <col min="3" max="3" width="10.421875" style="0" customWidth="1"/>
    <col min="4" max="4" width="10.8515625" style="0" customWidth="1"/>
    <col min="5" max="5" width="14.7109375" style="0" customWidth="1"/>
    <col min="6" max="6" width="14.8515625" style="0" customWidth="1"/>
    <col min="7" max="7" width="15.00390625" style="0" customWidth="1"/>
    <col min="8" max="8" width="12.7109375" style="55" customWidth="1"/>
    <col min="9" max="9" width="10.00390625" style="0" customWidth="1"/>
    <col min="10" max="11" width="10.8515625" style="0" customWidth="1"/>
    <col min="12" max="12" width="8.8515625" style="0" customWidth="1"/>
  </cols>
  <sheetData>
    <row r="1" spans="1:12" ht="20.25">
      <c r="A1" s="27" t="s">
        <v>285</v>
      </c>
      <c r="I1" s="257"/>
      <c r="J1" s="257"/>
      <c r="K1" s="257"/>
      <c r="L1" s="257"/>
    </row>
    <row r="2" spans="1:12" ht="12.75">
      <c r="A2" s="54"/>
      <c r="B2" s="55"/>
      <c r="C2" s="55"/>
      <c r="E2" s="55"/>
      <c r="F2" s="55"/>
      <c r="G2" s="55"/>
      <c r="I2" s="258"/>
      <c r="J2" s="258"/>
      <c r="K2" s="258"/>
      <c r="L2" s="55"/>
    </row>
    <row r="3" spans="1:12" ht="12.75">
      <c r="A3" s="54"/>
      <c r="B3" s="56" t="s">
        <v>24</v>
      </c>
      <c r="C3" s="56" t="s">
        <v>24</v>
      </c>
      <c r="E3" s="56" t="s">
        <v>24</v>
      </c>
      <c r="I3" s="56" t="s">
        <v>161</v>
      </c>
      <c r="J3" s="56" t="s">
        <v>161</v>
      </c>
      <c r="K3" s="55"/>
      <c r="L3" s="55"/>
    </row>
    <row r="4" spans="1:12" ht="12.75">
      <c r="A4" s="54"/>
      <c r="B4" s="56" t="s">
        <v>48</v>
      </c>
      <c r="C4" s="56" t="s">
        <v>48</v>
      </c>
      <c r="D4" s="56" t="s">
        <v>24</v>
      </c>
      <c r="E4" s="56" t="s">
        <v>34</v>
      </c>
      <c r="I4" s="56" t="s">
        <v>48</v>
      </c>
      <c r="J4" s="56" t="s">
        <v>48</v>
      </c>
      <c r="K4" s="56" t="s">
        <v>161</v>
      </c>
      <c r="L4" s="55"/>
    </row>
    <row r="5" spans="1:12" ht="12.75">
      <c r="A5" s="54"/>
      <c r="B5" s="56" t="s">
        <v>106</v>
      </c>
      <c r="C5" s="56" t="s">
        <v>106</v>
      </c>
      <c r="D5" s="56" t="s">
        <v>48</v>
      </c>
      <c r="E5" s="56" t="s">
        <v>97</v>
      </c>
      <c r="F5" s="56" t="s">
        <v>24</v>
      </c>
      <c r="I5" s="56" t="s">
        <v>106</v>
      </c>
      <c r="J5" s="56" t="s">
        <v>106</v>
      </c>
      <c r="K5" s="56" t="s">
        <v>48</v>
      </c>
      <c r="L5" s="55"/>
    </row>
    <row r="6" spans="1:12" ht="12.75">
      <c r="A6" s="54"/>
      <c r="B6" s="56" t="s">
        <v>105</v>
      </c>
      <c r="C6" s="56" t="s">
        <v>105</v>
      </c>
      <c r="D6" s="56" t="s">
        <v>108</v>
      </c>
      <c r="E6" s="56" t="s">
        <v>103</v>
      </c>
      <c r="F6" s="56" t="s">
        <v>34</v>
      </c>
      <c r="G6" s="56" t="s">
        <v>24</v>
      </c>
      <c r="H6" s="56"/>
      <c r="I6" s="56" t="s">
        <v>105</v>
      </c>
      <c r="J6" s="56" t="s">
        <v>105</v>
      </c>
      <c r="K6" s="56" t="s">
        <v>108</v>
      </c>
      <c r="L6" s="55"/>
    </row>
    <row r="7" spans="1:12" ht="12.75">
      <c r="A7" s="54"/>
      <c r="B7" s="56" t="s">
        <v>100</v>
      </c>
      <c r="C7" s="56" t="s">
        <v>101</v>
      </c>
      <c r="D7" s="56" t="s">
        <v>107</v>
      </c>
      <c r="E7" s="56" t="s">
        <v>104</v>
      </c>
      <c r="F7" s="56" t="s">
        <v>138</v>
      </c>
      <c r="G7" s="56" t="s">
        <v>34</v>
      </c>
      <c r="H7" s="56"/>
      <c r="I7" s="56" t="s">
        <v>100</v>
      </c>
      <c r="J7" s="56" t="s">
        <v>101</v>
      </c>
      <c r="K7" s="56" t="s">
        <v>107</v>
      </c>
      <c r="L7" s="56" t="s">
        <v>24</v>
      </c>
    </row>
    <row r="8" spans="1:12" ht="12.75">
      <c r="A8" s="102"/>
      <c r="B8" s="78" t="s">
        <v>99</v>
      </c>
      <c r="C8" s="78" t="s">
        <v>99</v>
      </c>
      <c r="D8" s="103" t="s">
        <v>102</v>
      </c>
      <c r="E8" s="78" t="s">
        <v>202</v>
      </c>
      <c r="F8" s="78" t="s">
        <v>74</v>
      </c>
      <c r="G8" s="78" t="s">
        <v>98</v>
      </c>
      <c r="H8" s="129"/>
      <c r="I8" s="78" t="s">
        <v>99</v>
      </c>
      <c r="J8" s="78" t="s">
        <v>99</v>
      </c>
      <c r="K8" s="103" t="s">
        <v>102</v>
      </c>
      <c r="L8" s="78" t="s">
        <v>48</v>
      </c>
    </row>
    <row r="9" spans="1:12" ht="12.75">
      <c r="A9" s="225" t="s">
        <v>423</v>
      </c>
      <c r="B9" s="226"/>
      <c r="C9" s="226"/>
      <c r="D9" s="227"/>
      <c r="E9" s="226" t="s">
        <v>424</v>
      </c>
      <c r="F9" s="129"/>
      <c r="G9" s="129"/>
      <c r="H9" s="129"/>
      <c r="I9" s="225"/>
      <c r="J9" s="225" t="s">
        <v>426</v>
      </c>
      <c r="K9" s="224"/>
      <c r="L9" s="129"/>
    </row>
    <row r="10" spans="1:12" ht="12.75">
      <c r="A10" s="225"/>
      <c r="B10" s="226"/>
      <c r="C10" s="226"/>
      <c r="D10" s="227"/>
      <c r="E10" s="226" t="s">
        <v>421</v>
      </c>
      <c r="F10" s="129"/>
      <c r="G10" s="129"/>
      <c r="H10" s="129"/>
      <c r="I10" s="129"/>
      <c r="J10" s="129"/>
      <c r="K10" s="224"/>
      <c r="L10" s="129"/>
    </row>
    <row r="11" spans="1:12" ht="12.75">
      <c r="A11" s="225" t="s">
        <v>422</v>
      </c>
      <c r="B11" s="226"/>
      <c r="C11" s="226"/>
      <c r="D11" s="227"/>
      <c r="E11" s="226" t="s">
        <v>420</v>
      </c>
      <c r="F11" s="129"/>
      <c r="G11" s="129"/>
      <c r="H11" s="129"/>
      <c r="I11" s="129"/>
      <c r="J11" s="129"/>
      <c r="K11" s="224"/>
      <c r="L11" s="129"/>
    </row>
    <row r="12" spans="1:12" ht="12.75">
      <c r="A12" s="94"/>
      <c r="B12" s="129"/>
      <c r="C12" s="129"/>
      <c r="D12" s="224"/>
      <c r="E12" s="129" t="s">
        <v>421</v>
      </c>
      <c r="F12" s="129"/>
      <c r="G12" s="129"/>
      <c r="H12" s="129"/>
      <c r="I12" s="129"/>
      <c r="J12" s="129"/>
      <c r="K12" s="224"/>
      <c r="L12" s="129"/>
    </row>
    <row r="13" spans="1:12" ht="14.25">
      <c r="A13" s="38" t="s">
        <v>53</v>
      </c>
      <c r="B13" s="135" t="s">
        <v>118</v>
      </c>
      <c r="C13" s="135" t="s">
        <v>118</v>
      </c>
      <c r="D13" s="135" t="s">
        <v>118</v>
      </c>
      <c r="E13" s="135" t="s">
        <v>124</v>
      </c>
      <c r="F13" s="107">
        <v>343</v>
      </c>
      <c r="G13" s="107">
        <v>350</v>
      </c>
      <c r="H13" s="109"/>
      <c r="I13" s="259"/>
      <c r="J13" s="259"/>
      <c r="K13" s="259"/>
      <c r="L13" s="58"/>
    </row>
    <row r="14" spans="1:12" ht="12.75">
      <c r="A14" s="57">
        <v>37072</v>
      </c>
      <c r="B14" s="105">
        <v>2015</v>
      </c>
      <c r="C14" s="105">
        <v>301</v>
      </c>
      <c r="D14" s="105">
        <v>260</v>
      </c>
      <c r="E14" s="40">
        <v>22</v>
      </c>
      <c r="F14" s="40">
        <v>354</v>
      </c>
      <c r="G14" s="79">
        <v>370</v>
      </c>
      <c r="H14" s="59"/>
      <c r="I14" s="260"/>
      <c r="J14" s="260"/>
      <c r="K14" s="260"/>
      <c r="L14" s="58"/>
    </row>
    <row r="15" spans="1:12" ht="14.25">
      <c r="A15" s="57">
        <v>37164</v>
      </c>
      <c r="B15" s="135" t="s">
        <v>118</v>
      </c>
      <c r="C15" s="135" t="s">
        <v>118</v>
      </c>
      <c r="D15" s="135" t="s">
        <v>118</v>
      </c>
      <c r="E15" s="40">
        <v>140</v>
      </c>
      <c r="F15" s="40">
        <v>359</v>
      </c>
      <c r="G15" s="40">
        <v>389</v>
      </c>
      <c r="H15" s="58"/>
      <c r="I15" s="260"/>
      <c r="J15" s="260"/>
      <c r="K15" s="260"/>
      <c r="L15" s="58"/>
    </row>
    <row r="16" spans="1:12" ht="14.25">
      <c r="A16" s="57">
        <v>37256</v>
      </c>
      <c r="B16" s="135" t="s">
        <v>118</v>
      </c>
      <c r="C16" s="135" t="s">
        <v>118</v>
      </c>
      <c r="D16" s="135" t="s">
        <v>118</v>
      </c>
      <c r="E16" s="40">
        <v>36</v>
      </c>
      <c r="F16" s="40">
        <v>377</v>
      </c>
      <c r="G16" s="40">
        <v>386</v>
      </c>
      <c r="H16" s="58"/>
      <c r="I16" s="260"/>
      <c r="J16" s="260"/>
      <c r="K16" s="260"/>
      <c r="L16" s="58"/>
    </row>
    <row r="17" spans="1:12" ht="14.25">
      <c r="A17" s="57">
        <v>37346</v>
      </c>
      <c r="B17" s="135" t="s">
        <v>118</v>
      </c>
      <c r="C17" s="135" t="s">
        <v>118</v>
      </c>
      <c r="D17" s="135" t="s">
        <v>118</v>
      </c>
      <c r="E17" s="40">
        <v>196</v>
      </c>
      <c r="F17" s="40">
        <v>381</v>
      </c>
      <c r="G17" s="40">
        <v>400</v>
      </c>
      <c r="H17" s="58"/>
      <c r="I17" s="260"/>
      <c r="J17" s="260"/>
      <c r="K17" s="260"/>
      <c r="L17" s="58"/>
    </row>
    <row r="18" spans="1:12" ht="12.75">
      <c r="A18" s="70">
        <v>37437</v>
      </c>
      <c r="B18" s="105">
        <v>2079</v>
      </c>
      <c r="C18" s="105">
        <v>301</v>
      </c>
      <c r="D18" s="105">
        <v>261</v>
      </c>
      <c r="E18" s="68">
        <v>209</v>
      </c>
      <c r="F18" s="68">
        <v>388</v>
      </c>
      <c r="G18" s="68">
        <v>394</v>
      </c>
      <c r="H18" s="39"/>
      <c r="I18" s="260"/>
      <c r="J18" s="260"/>
      <c r="K18" s="260"/>
      <c r="L18" s="58"/>
    </row>
    <row r="19" spans="1:12" ht="14.25">
      <c r="A19" s="95">
        <v>37529</v>
      </c>
      <c r="B19" s="135" t="s">
        <v>118</v>
      </c>
      <c r="C19" s="135" t="s">
        <v>118</v>
      </c>
      <c r="D19" s="135" t="s">
        <v>118</v>
      </c>
      <c r="E19" s="44">
        <v>231</v>
      </c>
      <c r="F19" s="44">
        <v>389</v>
      </c>
      <c r="G19" s="44">
        <v>390</v>
      </c>
      <c r="H19" s="75"/>
      <c r="I19" s="260"/>
      <c r="J19" s="260"/>
      <c r="K19" s="260"/>
      <c r="L19" s="58"/>
    </row>
    <row r="20" spans="1:12" ht="14.25">
      <c r="A20" s="69">
        <v>37621</v>
      </c>
      <c r="B20" s="135" t="s">
        <v>118</v>
      </c>
      <c r="C20" s="135" t="s">
        <v>118</v>
      </c>
      <c r="D20" s="135" t="s">
        <v>118</v>
      </c>
      <c r="E20" s="44">
        <v>243</v>
      </c>
      <c r="F20" s="44">
        <v>391</v>
      </c>
      <c r="G20" s="44">
        <v>379</v>
      </c>
      <c r="H20" s="75"/>
      <c r="I20" s="260"/>
      <c r="J20" s="260"/>
      <c r="K20" s="260"/>
      <c r="L20" s="58"/>
    </row>
    <row r="21" spans="1:12" ht="14.25">
      <c r="A21" s="69">
        <v>37711</v>
      </c>
      <c r="B21" s="135" t="s">
        <v>118</v>
      </c>
      <c r="C21" s="135" t="s">
        <v>118</v>
      </c>
      <c r="D21" s="135" t="s">
        <v>118</v>
      </c>
      <c r="E21" s="44">
        <v>267</v>
      </c>
      <c r="F21" s="44">
        <v>390</v>
      </c>
      <c r="G21" s="44">
        <v>374</v>
      </c>
      <c r="H21" s="75"/>
      <c r="I21" s="260"/>
      <c r="J21" s="260"/>
      <c r="K21" s="260"/>
      <c r="L21" s="58"/>
    </row>
    <row r="22" spans="1:12" ht="12.75">
      <c r="A22" s="69">
        <v>37802</v>
      </c>
      <c r="B22" s="44">
        <v>2132</v>
      </c>
      <c r="C22" s="44">
        <v>300</v>
      </c>
      <c r="D22" s="44">
        <v>261</v>
      </c>
      <c r="E22" s="44">
        <v>242</v>
      </c>
      <c r="F22" s="44">
        <v>393</v>
      </c>
      <c r="G22" s="44">
        <v>377</v>
      </c>
      <c r="H22" s="75"/>
      <c r="I22" s="260"/>
      <c r="J22" s="260"/>
      <c r="K22" s="260"/>
      <c r="L22" s="58"/>
    </row>
    <row r="23" spans="1:12" ht="14.25">
      <c r="A23" s="69">
        <v>37894</v>
      </c>
      <c r="B23" s="135" t="s">
        <v>118</v>
      </c>
      <c r="C23" s="135" t="s">
        <v>118</v>
      </c>
      <c r="D23" s="135" t="s">
        <v>118</v>
      </c>
      <c r="E23" s="44">
        <v>202</v>
      </c>
      <c r="F23" s="44">
        <v>386</v>
      </c>
      <c r="G23" s="44">
        <v>373</v>
      </c>
      <c r="H23" s="75"/>
      <c r="I23" s="260"/>
      <c r="J23" s="260"/>
      <c r="K23" s="260"/>
      <c r="L23" s="58"/>
    </row>
    <row r="24" spans="1:12" ht="14.25">
      <c r="A24" s="69">
        <v>37986</v>
      </c>
      <c r="B24" s="135" t="s">
        <v>118</v>
      </c>
      <c r="C24" s="135" t="s">
        <v>118</v>
      </c>
      <c r="D24" s="135" t="s">
        <v>118</v>
      </c>
      <c r="E24" s="44">
        <v>227</v>
      </c>
      <c r="F24" s="44">
        <v>376</v>
      </c>
      <c r="G24" s="44">
        <v>371</v>
      </c>
      <c r="H24" s="75"/>
      <c r="I24" s="260"/>
      <c r="J24" s="260"/>
      <c r="K24" s="260"/>
      <c r="L24" s="58"/>
    </row>
    <row r="25" spans="1:12" ht="14.25">
      <c r="A25" s="69">
        <v>38077</v>
      </c>
      <c r="B25" s="135" t="s">
        <v>118</v>
      </c>
      <c r="C25" s="135" t="s">
        <v>118</v>
      </c>
      <c r="D25" s="135" t="s">
        <v>118</v>
      </c>
      <c r="E25" s="44">
        <v>199</v>
      </c>
      <c r="F25" s="44">
        <v>364</v>
      </c>
      <c r="G25" s="44">
        <v>367</v>
      </c>
      <c r="H25" s="75"/>
      <c r="I25" s="260"/>
      <c r="J25" s="260"/>
      <c r="K25" s="260"/>
      <c r="L25" s="58"/>
    </row>
    <row r="26" spans="1:12" ht="12.75">
      <c r="A26" s="69">
        <v>38168</v>
      </c>
      <c r="B26" s="105">
        <v>2210</v>
      </c>
      <c r="C26" s="105">
        <v>295</v>
      </c>
      <c r="D26" s="105">
        <v>256</v>
      </c>
      <c r="E26" s="44">
        <v>190</v>
      </c>
      <c r="F26" s="44">
        <v>370</v>
      </c>
      <c r="G26" s="44">
        <v>353</v>
      </c>
      <c r="H26" s="75"/>
      <c r="I26" s="260"/>
      <c r="J26" s="260"/>
      <c r="K26" s="260"/>
      <c r="L26" s="58"/>
    </row>
    <row r="27" spans="1:12" ht="14.25">
      <c r="A27" s="69">
        <v>38260</v>
      </c>
      <c r="B27" s="135" t="s">
        <v>118</v>
      </c>
      <c r="C27" s="135" t="s">
        <v>118</v>
      </c>
      <c r="D27" s="135" t="s">
        <v>118</v>
      </c>
      <c r="E27" s="44">
        <v>191</v>
      </c>
      <c r="F27" s="44">
        <v>369</v>
      </c>
      <c r="G27" s="44">
        <v>349</v>
      </c>
      <c r="H27" s="75"/>
      <c r="I27" s="260"/>
      <c r="J27" s="260"/>
      <c r="K27" s="260"/>
      <c r="L27" s="58"/>
    </row>
    <row r="28" spans="1:12" ht="12.75">
      <c r="A28" s="69">
        <v>38352</v>
      </c>
      <c r="B28" s="105">
        <v>2214</v>
      </c>
      <c r="C28" s="105">
        <v>291</v>
      </c>
      <c r="D28" s="105">
        <v>252</v>
      </c>
      <c r="E28" s="44">
        <v>181</v>
      </c>
      <c r="F28" s="44">
        <v>366</v>
      </c>
      <c r="G28" s="44">
        <v>342</v>
      </c>
      <c r="H28" s="75"/>
      <c r="I28" s="260"/>
      <c r="J28" s="260"/>
      <c r="K28" s="260"/>
      <c r="L28" s="58"/>
    </row>
    <row r="29" spans="1:12" ht="14.25">
      <c r="A29" s="69">
        <v>38442</v>
      </c>
      <c r="B29" s="135" t="s">
        <v>118</v>
      </c>
      <c r="C29" s="135" t="s">
        <v>118</v>
      </c>
      <c r="D29" s="135" t="s">
        <v>118</v>
      </c>
      <c r="E29" s="44">
        <v>203</v>
      </c>
      <c r="F29" s="44">
        <v>361</v>
      </c>
      <c r="G29" s="44">
        <v>332</v>
      </c>
      <c r="H29" s="75"/>
      <c r="I29" s="260"/>
      <c r="J29" s="260"/>
      <c r="K29" s="260"/>
      <c r="L29" s="58"/>
    </row>
    <row r="30" spans="1:12" ht="14.25">
      <c r="A30" s="69">
        <v>38533</v>
      </c>
      <c r="B30" s="135" t="s">
        <v>118</v>
      </c>
      <c r="C30" s="135" t="s">
        <v>118</v>
      </c>
      <c r="D30" s="135" t="s">
        <v>118</v>
      </c>
      <c r="E30" s="44">
        <v>218</v>
      </c>
      <c r="F30" s="44">
        <v>365</v>
      </c>
      <c r="G30" s="44">
        <v>330</v>
      </c>
      <c r="H30" s="75"/>
      <c r="I30" s="260"/>
      <c r="J30" s="260"/>
      <c r="K30" s="260"/>
      <c r="L30" s="58"/>
    </row>
    <row r="31" spans="1:12" ht="14.25">
      <c r="A31" s="69">
        <v>38625</v>
      </c>
      <c r="B31" s="135" t="s">
        <v>118</v>
      </c>
      <c r="C31" s="135" t="s">
        <v>118</v>
      </c>
      <c r="D31" s="135" t="s">
        <v>118</v>
      </c>
      <c r="E31" s="44">
        <v>201</v>
      </c>
      <c r="F31" s="44">
        <v>357</v>
      </c>
      <c r="G31" s="44">
        <v>328</v>
      </c>
      <c r="H31" s="75"/>
      <c r="I31" s="260"/>
      <c r="J31" s="260"/>
      <c r="K31" s="260"/>
      <c r="L31" s="58"/>
    </row>
    <row r="32" spans="1:12" ht="14.25">
      <c r="A32" s="69">
        <v>38717</v>
      </c>
      <c r="B32" s="135" t="s">
        <v>118</v>
      </c>
      <c r="C32" s="135" t="s">
        <v>118</v>
      </c>
      <c r="D32" s="135" t="s">
        <v>118</v>
      </c>
      <c r="E32" s="44">
        <v>175</v>
      </c>
      <c r="F32" s="44">
        <v>346</v>
      </c>
      <c r="G32" s="44">
        <v>316</v>
      </c>
      <c r="H32" s="75"/>
      <c r="I32" s="260"/>
      <c r="J32" s="260"/>
      <c r="K32" s="260"/>
      <c r="L32" s="58"/>
    </row>
    <row r="33" spans="1:12" ht="14.25">
      <c r="A33" s="69">
        <v>38807</v>
      </c>
      <c r="B33" s="135" t="s">
        <v>118</v>
      </c>
      <c r="C33" s="135" t="s">
        <v>118</v>
      </c>
      <c r="D33" s="135" t="s">
        <v>118</v>
      </c>
      <c r="E33" s="44">
        <v>218</v>
      </c>
      <c r="F33" s="44">
        <v>343</v>
      </c>
      <c r="G33" s="44">
        <v>316</v>
      </c>
      <c r="H33" s="75"/>
      <c r="I33" s="260"/>
      <c r="J33" s="260"/>
      <c r="K33" s="260"/>
      <c r="L33" s="58"/>
    </row>
    <row r="34" spans="1:12" ht="14.25">
      <c r="A34" s="69">
        <v>38898</v>
      </c>
      <c r="B34" s="135" t="s">
        <v>118</v>
      </c>
      <c r="C34" s="135" t="s">
        <v>118</v>
      </c>
      <c r="D34" s="135" t="s">
        <v>118</v>
      </c>
      <c r="E34" s="44">
        <v>231</v>
      </c>
      <c r="F34" s="44">
        <v>343</v>
      </c>
      <c r="G34" s="44">
        <v>316</v>
      </c>
      <c r="H34" s="75"/>
      <c r="I34" s="260"/>
      <c r="J34" s="260"/>
      <c r="K34" s="260"/>
      <c r="L34" s="58"/>
    </row>
    <row r="35" spans="1:12" ht="14.25">
      <c r="A35" s="69">
        <v>38990</v>
      </c>
      <c r="B35" s="135" t="s">
        <v>118</v>
      </c>
      <c r="C35" s="135" t="s">
        <v>118</v>
      </c>
      <c r="D35" s="135" t="s">
        <v>118</v>
      </c>
      <c r="E35" s="44">
        <v>188</v>
      </c>
      <c r="F35" s="44">
        <v>340</v>
      </c>
      <c r="G35" s="44">
        <v>310</v>
      </c>
      <c r="H35" s="75"/>
      <c r="I35" s="260"/>
      <c r="J35" s="260"/>
      <c r="K35" s="260"/>
      <c r="L35" s="58"/>
    </row>
    <row r="36" spans="1:12" ht="14.25">
      <c r="A36" s="69">
        <v>39082</v>
      </c>
      <c r="B36" s="135" t="s">
        <v>118</v>
      </c>
      <c r="C36" s="135" t="s">
        <v>118</v>
      </c>
      <c r="D36" s="135" t="s">
        <v>118</v>
      </c>
      <c r="E36" s="44">
        <v>182</v>
      </c>
      <c r="F36" s="44">
        <v>340</v>
      </c>
      <c r="G36" s="44">
        <v>304</v>
      </c>
      <c r="H36" s="75"/>
      <c r="I36" s="260"/>
      <c r="J36" s="260"/>
      <c r="K36" s="260"/>
      <c r="L36" s="58"/>
    </row>
    <row r="37" spans="1:12" ht="14.25">
      <c r="A37" s="69">
        <v>39172</v>
      </c>
      <c r="B37" s="135" t="s">
        <v>118</v>
      </c>
      <c r="C37" s="135" t="s">
        <v>118</v>
      </c>
      <c r="D37" s="135" t="s">
        <v>118</v>
      </c>
      <c r="E37" s="44">
        <v>200</v>
      </c>
      <c r="F37" s="44">
        <v>337</v>
      </c>
      <c r="G37" s="44">
        <v>298</v>
      </c>
      <c r="H37" s="75"/>
      <c r="I37" s="260"/>
      <c r="J37" s="260"/>
      <c r="K37" s="260"/>
      <c r="L37" s="58"/>
    </row>
    <row r="38" spans="1:12" ht="14.25">
      <c r="A38" s="69">
        <v>39263</v>
      </c>
      <c r="B38" s="135" t="s">
        <v>118</v>
      </c>
      <c r="C38" s="135" t="s">
        <v>118</v>
      </c>
      <c r="D38" s="135" t="s">
        <v>118</v>
      </c>
      <c r="E38" s="44">
        <v>230</v>
      </c>
      <c r="F38" s="44">
        <v>335</v>
      </c>
      <c r="G38" s="44">
        <v>296</v>
      </c>
      <c r="H38" s="75"/>
      <c r="I38" s="260"/>
      <c r="J38" s="260"/>
      <c r="K38" s="260"/>
      <c r="L38" s="58"/>
    </row>
    <row r="39" spans="1:12" ht="14.25">
      <c r="A39" s="69">
        <v>39355</v>
      </c>
      <c r="B39" s="135" t="s">
        <v>118</v>
      </c>
      <c r="C39" s="135" t="s">
        <v>118</v>
      </c>
      <c r="D39" s="135" t="s">
        <v>118</v>
      </c>
      <c r="E39" s="44">
        <v>212</v>
      </c>
      <c r="F39" s="44">
        <v>331</v>
      </c>
      <c r="G39" s="44">
        <v>290</v>
      </c>
      <c r="H39" s="75"/>
      <c r="I39" s="260"/>
      <c r="J39" s="260"/>
      <c r="K39" s="260"/>
      <c r="L39" s="58"/>
    </row>
    <row r="40" spans="1:12" ht="14.25">
      <c r="A40" s="69">
        <v>39447</v>
      </c>
      <c r="B40" s="135" t="s">
        <v>118</v>
      </c>
      <c r="C40" s="135" t="s">
        <v>118</v>
      </c>
      <c r="D40" s="135" t="s">
        <v>118</v>
      </c>
      <c r="E40" s="44">
        <v>189</v>
      </c>
      <c r="F40" s="44">
        <v>338</v>
      </c>
      <c r="G40" s="44">
        <v>286</v>
      </c>
      <c r="H40" s="75"/>
      <c r="I40" s="260"/>
      <c r="J40" s="260"/>
      <c r="K40" s="260"/>
      <c r="L40" s="58"/>
    </row>
    <row r="41" spans="1:12" ht="14.25">
      <c r="A41" s="69">
        <v>39538</v>
      </c>
      <c r="B41" s="135" t="s">
        <v>118</v>
      </c>
      <c r="C41" s="135" t="s">
        <v>118</v>
      </c>
      <c r="D41" s="135" t="s">
        <v>118</v>
      </c>
      <c r="E41" s="44">
        <v>220</v>
      </c>
      <c r="F41" s="44">
        <v>350</v>
      </c>
      <c r="G41" s="44">
        <v>283</v>
      </c>
      <c r="H41" s="75"/>
      <c r="I41" s="260"/>
      <c r="J41" s="260"/>
      <c r="K41" s="260"/>
      <c r="L41" s="58"/>
    </row>
    <row r="42" spans="1:12" ht="14.25">
      <c r="A42" s="69">
        <v>39629</v>
      </c>
      <c r="B42" s="135" t="s">
        <v>118</v>
      </c>
      <c r="C42" s="135" t="s">
        <v>118</v>
      </c>
      <c r="D42" s="135" t="s">
        <v>118</v>
      </c>
      <c r="E42" s="44">
        <v>222</v>
      </c>
      <c r="F42" s="44">
        <v>351</v>
      </c>
      <c r="G42" s="44">
        <v>280</v>
      </c>
      <c r="H42" s="75"/>
      <c r="I42" s="260"/>
      <c r="J42" s="260"/>
      <c r="K42" s="260"/>
      <c r="L42" s="58"/>
    </row>
    <row r="43" spans="1:12" ht="14.25">
      <c r="A43" s="69">
        <v>39721</v>
      </c>
      <c r="B43" s="135" t="s">
        <v>118</v>
      </c>
      <c r="C43" s="135" t="s">
        <v>118</v>
      </c>
      <c r="D43" s="135" t="s">
        <v>118</v>
      </c>
      <c r="E43" s="44">
        <v>224</v>
      </c>
      <c r="F43" s="44">
        <v>354</v>
      </c>
      <c r="G43" s="44">
        <v>270</v>
      </c>
      <c r="H43" s="75"/>
      <c r="I43" s="260"/>
      <c r="J43" s="260"/>
      <c r="K43" s="260"/>
      <c r="L43" s="58"/>
    </row>
    <row r="44" spans="1:12" ht="14.25">
      <c r="A44" s="69">
        <v>39813</v>
      </c>
      <c r="B44" s="135" t="s">
        <v>118</v>
      </c>
      <c r="C44" s="135" t="s">
        <v>118</v>
      </c>
      <c r="D44" s="135" t="s">
        <v>118</v>
      </c>
      <c r="E44" s="44">
        <v>230</v>
      </c>
      <c r="F44" s="44">
        <v>357</v>
      </c>
      <c r="G44" s="44">
        <v>265</v>
      </c>
      <c r="H44" s="75"/>
      <c r="I44" s="260"/>
      <c r="J44" s="260"/>
      <c r="K44" s="260"/>
      <c r="L44" s="58"/>
    </row>
    <row r="45" spans="1:12" ht="14.25">
      <c r="A45" s="69">
        <v>39903</v>
      </c>
      <c r="B45" s="135" t="s">
        <v>118</v>
      </c>
      <c r="C45" s="135" t="s">
        <v>118</v>
      </c>
      <c r="D45" s="135" t="s">
        <v>118</v>
      </c>
      <c r="E45" s="44">
        <v>227</v>
      </c>
      <c r="F45" s="44">
        <v>355</v>
      </c>
      <c r="G45" s="44">
        <v>258</v>
      </c>
      <c r="H45" s="75"/>
      <c r="I45" s="260"/>
      <c r="J45" s="260"/>
      <c r="K45" s="260"/>
      <c r="L45" s="58"/>
    </row>
    <row r="46" spans="1:12" ht="14.25">
      <c r="A46" s="69">
        <v>39994</v>
      </c>
      <c r="B46" s="135" t="s">
        <v>118</v>
      </c>
      <c r="C46" s="135" t="s">
        <v>118</v>
      </c>
      <c r="D46" s="135" t="s">
        <v>118</v>
      </c>
      <c r="E46" s="44">
        <v>231</v>
      </c>
      <c r="F46" s="44">
        <v>356</v>
      </c>
      <c r="G46" s="44">
        <v>253</v>
      </c>
      <c r="H46" s="75"/>
      <c r="I46" s="260"/>
      <c r="J46" s="260"/>
      <c r="K46" s="260"/>
      <c r="L46" s="58"/>
    </row>
    <row r="47" spans="1:12" ht="14.25">
      <c r="A47" s="69">
        <v>40086</v>
      </c>
      <c r="B47" s="135" t="s">
        <v>118</v>
      </c>
      <c r="C47" s="135" t="s">
        <v>118</v>
      </c>
      <c r="D47" s="135" t="s">
        <v>118</v>
      </c>
      <c r="E47" s="44">
        <v>201</v>
      </c>
      <c r="F47" s="44">
        <v>361</v>
      </c>
      <c r="G47" s="44">
        <v>251</v>
      </c>
      <c r="H47" s="75"/>
      <c r="I47" s="260"/>
      <c r="J47" s="260"/>
      <c r="K47" s="260"/>
      <c r="L47" s="58"/>
    </row>
    <row r="48" spans="1:12" ht="14.25">
      <c r="A48" s="69">
        <v>40178</v>
      </c>
      <c r="B48" s="135" t="s">
        <v>118</v>
      </c>
      <c r="C48" s="135" t="s">
        <v>118</v>
      </c>
      <c r="D48" s="135" t="s">
        <v>118</v>
      </c>
      <c r="E48" s="44">
        <v>151</v>
      </c>
      <c r="F48" s="44">
        <v>359</v>
      </c>
      <c r="G48" s="44">
        <v>248</v>
      </c>
      <c r="H48" s="75"/>
      <c r="I48" s="260"/>
      <c r="J48" s="260"/>
      <c r="K48" s="260"/>
      <c r="L48" s="58"/>
    </row>
    <row r="49" spans="1:12" ht="14.25">
      <c r="A49" s="69">
        <v>40268</v>
      </c>
      <c r="B49" s="135" t="s">
        <v>118</v>
      </c>
      <c r="C49" s="135" t="s">
        <v>118</v>
      </c>
      <c r="D49" s="135" t="s">
        <v>118</v>
      </c>
      <c r="E49" s="44">
        <v>182</v>
      </c>
      <c r="F49" s="44">
        <v>358</v>
      </c>
      <c r="G49" s="44">
        <v>248</v>
      </c>
      <c r="H49" s="75"/>
      <c r="I49" s="260"/>
      <c r="J49" s="260"/>
      <c r="K49" s="260"/>
      <c r="L49" s="58"/>
    </row>
    <row r="50" spans="1:12" ht="14.25">
      <c r="A50" s="69">
        <v>40359</v>
      </c>
      <c r="B50" s="135" t="s">
        <v>118</v>
      </c>
      <c r="C50" s="135" t="s">
        <v>118</v>
      </c>
      <c r="D50" s="135" t="s">
        <v>118</v>
      </c>
      <c r="E50" s="44">
        <v>192</v>
      </c>
      <c r="F50" s="44">
        <v>355</v>
      </c>
      <c r="G50" s="44">
        <v>246</v>
      </c>
      <c r="H50" s="75"/>
      <c r="I50" s="260"/>
      <c r="J50" s="260"/>
      <c r="K50" s="260"/>
      <c r="L50" s="58"/>
    </row>
    <row r="51" spans="1:12" ht="14.25">
      <c r="A51" s="69">
        <v>40451</v>
      </c>
      <c r="B51" s="135" t="s">
        <v>118</v>
      </c>
      <c r="C51" s="135" t="s">
        <v>118</v>
      </c>
      <c r="D51" s="135" t="s">
        <v>118</v>
      </c>
      <c r="E51" s="44">
        <v>216</v>
      </c>
      <c r="F51" s="44">
        <v>358</v>
      </c>
      <c r="G51" s="44">
        <v>243</v>
      </c>
      <c r="H51" s="75"/>
      <c r="I51" s="260"/>
      <c r="J51" s="260"/>
      <c r="K51" s="260"/>
      <c r="L51" s="58"/>
    </row>
    <row r="52" spans="1:12" ht="14.25">
      <c r="A52" s="69">
        <v>40543</v>
      </c>
      <c r="B52" s="135" t="s">
        <v>118</v>
      </c>
      <c r="C52" s="135" t="s">
        <v>118</v>
      </c>
      <c r="D52" s="135" t="s">
        <v>118</v>
      </c>
      <c r="E52" s="44">
        <v>188</v>
      </c>
      <c r="F52" s="44">
        <v>353</v>
      </c>
      <c r="G52" s="44">
        <v>237</v>
      </c>
      <c r="H52" s="75"/>
      <c r="I52" s="260"/>
      <c r="J52" s="260"/>
      <c r="K52" s="260"/>
      <c r="L52" s="58"/>
    </row>
    <row r="53" spans="1:12" ht="14.25">
      <c r="A53" s="69">
        <v>40633</v>
      </c>
      <c r="B53" s="135" t="s">
        <v>118</v>
      </c>
      <c r="C53" s="135" t="s">
        <v>118</v>
      </c>
      <c r="D53" s="135" t="s">
        <v>118</v>
      </c>
      <c r="E53" s="44">
        <v>195</v>
      </c>
      <c r="F53" s="44">
        <v>354</v>
      </c>
      <c r="G53" s="44">
        <v>237</v>
      </c>
      <c r="H53" s="75"/>
      <c r="I53" s="260"/>
      <c r="J53" s="260"/>
      <c r="K53" s="260"/>
      <c r="L53" s="58"/>
    </row>
    <row r="54" spans="1:12" ht="14.25">
      <c r="A54" s="69">
        <v>40724</v>
      </c>
      <c r="B54" s="135" t="s">
        <v>118</v>
      </c>
      <c r="C54" s="135" t="s">
        <v>118</v>
      </c>
      <c r="D54" s="135" t="s">
        <v>118</v>
      </c>
      <c r="E54" s="44">
        <v>209</v>
      </c>
      <c r="F54" s="44">
        <v>363</v>
      </c>
      <c r="G54" s="44">
        <v>232</v>
      </c>
      <c r="H54" s="75"/>
      <c r="I54" s="260"/>
      <c r="J54" s="260"/>
      <c r="K54" s="260"/>
      <c r="L54" s="58"/>
    </row>
    <row r="55" spans="1:12" ht="14.25">
      <c r="A55" s="69">
        <v>40816</v>
      </c>
      <c r="B55" s="135" t="s">
        <v>118</v>
      </c>
      <c r="C55" s="135" t="s">
        <v>118</v>
      </c>
      <c r="D55" s="135" t="s">
        <v>118</v>
      </c>
      <c r="E55" s="44">
        <v>170</v>
      </c>
      <c r="F55" s="44">
        <v>361</v>
      </c>
      <c r="G55" s="44">
        <v>225</v>
      </c>
      <c r="H55" s="75"/>
      <c r="I55" s="260"/>
      <c r="J55" s="260"/>
      <c r="K55" s="260"/>
      <c r="L55" s="58"/>
    </row>
    <row r="56" spans="1:12" ht="14.25">
      <c r="A56" s="69">
        <v>40908</v>
      </c>
      <c r="B56" s="135" t="s">
        <v>118</v>
      </c>
      <c r="C56" s="135" t="s">
        <v>118</v>
      </c>
      <c r="D56" s="135" t="s">
        <v>118</v>
      </c>
      <c r="E56" s="44">
        <v>162</v>
      </c>
      <c r="F56" s="44">
        <v>359</v>
      </c>
      <c r="G56" s="44">
        <v>220</v>
      </c>
      <c r="H56" s="75"/>
      <c r="I56" s="260"/>
      <c r="J56" s="260"/>
      <c r="K56" s="260"/>
      <c r="L56" s="58"/>
    </row>
    <row r="57" spans="1:12" ht="14.25">
      <c r="A57" s="69">
        <v>40999</v>
      </c>
      <c r="B57" s="135" t="s">
        <v>118</v>
      </c>
      <c r="C57" s="135" t="s">
        <v>118</v>
      </c>
      <c r="D57" s="135" t="s">
        <v>118</v>
      </c>
      <c r="E57" s="44">
        <v>175</v>
      </c>
      <c r="F57" s="44">
        <v>364</v>
      </c>
      <c r="G57" s="44">
        <v>219</v>
      </c>
      <c r="H57" s="75"/>
      <c r="I57" s="260"/>
      <c r="J57" s="260"/>
      <c r="K57" s="260"/>
      <c r="L57" s="58"/>
    </row>
    <row r="58" spans="1:12" ht="14.25">
      <c r="A58" s="69">
        <v>41090</v>
      </c>
      <c r="B58" s="135" t="s">
        <v>118</v>
      </c>
      <c r="C58" s="135" t="s">
        <v>118</v>
      </c>
      <c r="D58" s="135" t="s">
        <v>118</v>
      </c>
      <c r="E58" s="44">
        <v>170</v>
      </c>
      <c r="F58" s="44">
        <v>357</v>
      </c>
      <c r="G58" s="44">
        <v>219</v>
      </c>
      <c r="H58" s="75"/>
      <c r="I58" s="260"/>
      <c r="J58" s="260"/>
      <c r="K58" s="260"/>
      <c r="L58" s="58"/>
    </row>
    <row r="59" spans="1:12" ht="14.25">
      <c r="A59" s="69">
        <v>41182</v>
      </c>
      <c r="B59" s="135" t="s">
        <v>118</v>
      </c>
      <c r="C59" s="135" t="s">
        <v>118</v>
      </c>
      <c r="D59" s="135" t="s">
        <v>118</v>
      </c>
      <c r="E59" s="44">
        <v>175</v>
      </c>
      <c r="F59" s="44">
        <v>358</v>
      </c>
      <c r="G59" s="44">
        <v>218</v>
      </c>
      <c r="H59" s="75"/>
      <c r="I59" s="260"/>
      <c r="J59" s="260"/>
      <c r="K59" s="260"/>
      <c r="L59" s="58"/>
    </row>
    <row r="60" spans="1:12" ht="14.25">
      <c r="A60" s="69">
        <v>41274</v>
      </c>
      <c r="B60" s="135" t="s">
        <v>118</v>
      </c>
      <c r="C60" s="135" t="s">
        <v>118</v>
      </c>
      <c r="D60" s="135" t="s">
        <v>118</v>
      </c>
      <c r="E60" s="44">
        <v>158</v>
      </c>
      <c r="F60" s="44">
        <v>361</v>
      </c>
      <c r="G60" s="44">
        <v>216</v>
      </c>
      <c r="H60" s="75"/>
      <c r="I60" s="260"/>
      <c r="J60" s="260"/>
      <c r="K60" s="260"/>
      <c r="L60" s="58"/>
    </row>
    <row r="61" spans="1:12" ht="14.25">
      <c r="A61" s="69">
        <v>41364</v>
      </c>
      <c r="B61" s="135" t="s">
        <v>118</v>
      </c>
      <c r="C61" s="135" t="s">
        <v>118</v>
      </c>
      <c r="D61" s="135" t="s">
        <v>118</v>
      </c>
      <c r="E61" s="44">
        <v>188</v>
      </c>
      <c r="F61" s="44">
        <v>358</v>
      </c>
      <c r="G61" s="44">
        <v>213</v>
      </c>
      <c r="H61" s="75"/>
      <c r="I61" s="260"/>
      <c r="J61" s="260"/>
      <c r="K61" s="260"/>
      <c r="L61" s="58"/>
    </row>
    <row r="62" spans="1:12" ht="14.25">
      <c r="A62" s="69">
        <v>41455</v>
      </c>
      <c r="B62" s="135" t="s">
        <v>118</v>
      </c>
      <c r="C62" s="135" t="s">
        <v>118</v>
      </c>
      <c r="D62" s="135" t="s">
        <v>118</v>
      </c>
      <c r="E62" s="44">
        <v>193</v>
      </c>
      <c r="F62" s="44">
        <v>365</v>
      </c>
      <c r="G62" s="44">
        <v>215</v>
      </c>
      <c r="H62" s="75"/>
      <c r="I62" s="260"/>
      <c r="J62" s="260"/>
      <c r="K62" s="260"/>
      <c r="L62" s="58"/>
    </row>
    <row r="63" spans="1:12" ht="14.25">
      <c r="A63" s="69">
        <v>41547</v>
      </c>
      <c r="B63" s="135" t="s">
        <v>118</v>
      </c>
      <c r="C63" s="135" t="s">
        <v>118</v>
      </c>
      <c r="D63" s="135" t="s">
        <v>118</v>
      </c>
      <c r="E63" s="44">
        <v>168</v>
      </c>
      <c r="F63" s="44">
        <v>358</v>
      </c>
      <c r="G63" s="44">
        <v>209</v>
      </c>
      <c r="H63" s="75"/>
      <c r="I63" s="260"/>
      <c r="J63" s="260"/>
      <c r="K63" s="260"/>
      <c r="L63" s="58"/>
    </row>
    <row r="64" spans="1:12" ht="14.25">
      <c r="A64" s="69">
        <v>41639</v>
      </c>
      <c r="B64" s="135" t="s">
        <v>118</v>
      </c>
      <c r="C64" s="135" t="s">
        <v>118</v>
      </c>
      <c r="D64" s="135" t="s">
        <v>118</v>
      </c>
      <c r="E64" s="44">
        <v>141</v>
      </c>
      <c r="F64" s="44">
        <v>357</v>
      </c>
      <c r="G64" s="44">
        <v>205</v>
      </c>
      <c r="H64" s="75"/>
      <c r="I64" s="260"/>
      <c r="J64" s="260"/>
      <c r="K64" s="260"/>
      <c r="L64" s="58"/>
    </row>
    <row r="65" spans="1:12" ht="14.25">
      <c r="A65" s="69">
        <v>41729</v>
      </c>
      <c r="B65" s="135" t="s">
        <v>118</v>
      </c>
      <c r="C65" s="135" t="s">
        <v>118</v>
      </c>
      <c r="D65" s="135" t="s">
        <v>118</v>
      </c>
      <c r="E65" s="44">
        <v>167</v>
      </c>
      <c r="F65" s="44">
        <v>359</v>
      </c>
      <c r="G65" s="44">
        <v>206</v>
      </c>
      <c r="H65" s="75"/>
      <c r="I65" s="260"/>
      <c r="J65" s="260"/>
      <c r="K65" s="260"/>
      <c r="L65" s="58"/>
    </row>
    <row r="66" spans="1:12" ht="14.25">
      <c r="A66" s="69">
        <v>41820</v>
      </c>
      <c r="B66" s="135" t="s">
        <v>118</v>
      </c>
      <c r="C66" s="135" t="s">
        <v>118</v>
      </c>
      <c r="D66" s="135" t="s">
        <v>118</v>
      </c>
      <c r="E66" s="44">
        <v>184</v>
      </c>
      <c r="F66" s="44">
        <v>371</v>
      </c>
      <c r="G66" s="44">
        <v>207</v>
      </c>
      <c r="H66" s="75"/>
      <c r="I66" s="260"/>
      <c r="J66" s="260"/>
      <c r="K66" s="260"/>
      <c r="L66" s="58"/>
    </row>
    <row r="67" spans="1:12" ht="14.25">
      <c r="A67" s="69">
        <v>41912</v>
      </c>
      <c r="B67" s="135" t="s">
        <v>118</v>
      </c>
      <c r="C67" s="135" t="s">
        <v>118</v>
      </c>
      <c r="D67" s="135" t="s">
        <v>118</v>
      </c>
      <c r="E67" s="44">
        <v>184</v>
      </c>
      <c r="F67" s="44">
        <v>375</v>
      </c>
      <c r="G67" s="44">
        <v>207</v>
      </c>
      <c r="H67" s="75"/>
      <c r="I67" s="260"/>
      <c r="J67" s="260"/>
      <c r="K67" s="260"/>
      <c r="L67" s="58"/>
    </row>
    <row r="68" spans="1:12" ht="14.25">
      <c r="A68" s="69">
        <v>42004</v>
      </c>
      <c r="B68" s="135" t="s">
        <v>118</v>
      </c>
      <c r="C68" s="135" t="s">
        <v>118</v>
      </c>
      <c r="D68" s="135" t="s">
        <v>118</v>
      </c>
      <c r="E68" s="44">
        <v>223</v>
      </c>
      <c r="F68" s="44">
        <v>375</v>
      </c>
      <c r="G68" s="44">
        <v>201</v>
      </c>
      <c r="H68" s="75"/>
      <c r="I68" s="260"/>
      <c r="J68" s="260"/>
      <c r="K68" s="260"/>
      <c r="L68" s="58"/>
    </row>
    <row r="69" spans="1:12" ht="14.25">
      <c r="A69" s="69">
        <v>42094</v>
      </c>
      <c r="B69" s="135" t="s">
        <v>118</v>
      </c>
      <c r="C69" s="135" t="s">
        <v>118</v>
      </c>
      <c r="D69" s="135" t="s">
        <v>118</v>
      </c>
      <c r="E69" s="44">
        <v>238</v>
      </c>
      <c r="F69" s="44">
        <v>374</v>
      </c>
      <c r="G69" s="44">
        <v>199</v>
      </c>
      <c r="H69" s="75"/>
      <c r="I69" s="260"/>
      <c r="J69" s="260"/>
      <c r="K69" s="260"/>
      <c r="L69" s="58"/>
    </row>
    <row r="70" spans="1:12" ht="14.25">
      <c r="A70" s="69">
        <v>42185</v>
      </c>
      <c r="B70" s="135" t="s">
        <v>118</v>
      </c>
      <c r="C70" s="135" t="s">
        <v>118</v>
      </c>
      <c r="D70" s="135" t="s">
        <v>118</v>
      </c>
      <c r="E70" s="44">
        <v>241</v>
      </c>
      <c r="F70" s="44">
        <v>376</v>
      </c>
      <c r="G70" s="44">
        <v>197</v>
      </c>
      <c r="H70" s="75"/>
      <c r="I70" s="260"/>
      <c r="J70" s="260"/>
      <c r="K70" s="260"/>
      <c r="L70" s="58"/>
    </row>
    <row r="71" spans="1:12" ht="14.25">
      <c r="A71" s="69">
        <v>42277</v>
      </c>
      <c r="B71" s="135" t="s">
        <v>118</v>
      </c>
      <c r="C71" s="135" t="s">
        <v>118</v>
      </c>
      <c r="D71" s="135" t="s">
        <v>118</v>
      </c>
      <c r="E71" s="44">
        <v>224</v>
      </c>
      <c r="F71" s="44">
        <v>373</v>
      </c>
      <c r="G71" s="44">
        <v>195</v>
      </c>
      <c r="H71" s="75"/>
      <c r="I71" s="260"/>
      <c r="J71" s="260"/>
      <c r="K71" s="260"/>
      <c r="L71" s="58"/>
    </row>
    <row r="72" spans="1:12" ht="14.25">
      <c r="A72" s="69">
        <v>42369</v>
      </c>
      <c r="B72" s="135" t="s">
        <v>118</v>
      </c>
      <c r="C72" s="135" t="s">
        <v>118</v>
      </c>
      <c r="D72" s="135" t="s">
        <v>118</v>
      </c>
      <c r="E72" s="44">
        <v>222</v>
      </c>
      <c r="F72" s="44">
        <v>357</v>
      </c>
      <c r="G72" s="44">
        <v>195</v>
      </c>
      <c r="H72" s="75"/>
      <c r="I72" s="260"/>
      <c r="J72" s="260"/>
      <c r="K72" s="260"/>
      <c r="L72" s="58"/>
    </row>
    <row r="73" spans="1:12" ht="14.25">
      <c r="A73" s="69">
        <v>42460</v>
      </c>
      <c r="B73" s="135" t="s">
        <v>118</v>
      </c>
      <c r="C73" s="135" t="s">
        <v>118</v>
      </c>
      <c r="D73" s="135" t="s">
        <v>118</v>
      </c>
      <c r="E73" s="44">
        <v>188</v>
      </c>
      <c r="F73" s="44">
        <v>357</v>
      </c>
      <c r="G73" s="44">
        <v>193</v>
      </c>
      <c r="H73" s="75"/>
      <c r="I73" s="260"/>
      <c r="J73" s="260"/>
      <c r="K73" s="260"/>
      <c r="L73" s="58"/>
    </row>
    <row r="74" spans="1:12" ht="12.75">
      <c r="A74" s="69">
        <v>42551</v>
      </c>
      <c r="B74" s="44">
        <v>2772</v>
      </c>
      <c r="C74" s="44">
        <v>158</v>
      </c>
      <c r="D74" s="44">
        <v>142</v>
      </c>
      <c r="E74" s="44">
        <v>245</v>
      </c>
      <c r="F74" s="44">
        <v>342</v>
      </c>
      <c r="G74" s="44">
        <v>208</v>
      </c>
      <c r="H74" s="75"/>
      <c r="I74" s="260"/>
      <c r="J74" s="260"/>
      <c r="K74" s="260"/>
      <c r="L74" s="58"/>
    </row>
    <row r="75" spans="1:12" ht="12.75">
      <c r="A75" s="69">
        <v>42643</v>
      </c>
      <c r="B75" s="44">
        <v>2752</v>
      </c>
      <c r="C75" s="44">
        <v>158</v>
      </c>
      <c r="D75" s="44">
        <v>140</v>
      </c>
      <c r="E75" s="44">
        <v>496</v>
      </c>
      <c r="F75" s="44">
        <v>353</v>
      </c>
      <c r="G75" s="44">
        <v>225</v>
      </c>
      <c r="H75" s="75"/>
      <c r="I75" s="260"/>
      <c r="J75" s="260"/>
      <c r="K75" s="260"/>
      <c r="L75" s="58"/>
    </row>
    <row r="76" spans="1:13" ht="12.75">
      <c r="A76" s="69">
        <v>42735</v>
      </c>
      <c r="B76" s="44">
        <v>2693</v>
      </c>
      <c r="C76" s="44">
        <v>156</v>
      </c>
      <c r="D76" s="44">
        <v>128</v>
      </c>
      <c r="E76" s="44">
        <v>580</v>
      </c>
      <c r="F76" s="44">
        <v>344</v>
      </c>
      <c r="G76" s="44">
        <v>239</v>
      </c>
      <c r="H76" s="75"/>
      <c r="I76" s="260">
        <f aca="true" t="shared" si="0" ref="I76:K79">B76/$L76*100</f>
        <v>57.69065981148243</v>
      </c>
      <c r="J76" s="260">
        <f t="shared" si="0"/>
        <v>3.3419023136246784</v>
      </c>
      <c r="K76" s="260">
        <f t="shared" si="0"/>
        <v>2.742073693230506</v>
      </c>
      <c r="L76" s="58">
        <f>'Tabell 2'!C71</f>
        <v>4668</v>
      </c>
      <c r="M76" t="s">
        <v>401</v>
      </c>
    </row>
    <row r="77" spans="1:12" ht="12.75">
      <c r="A77" s="69">
        <v>42825</v>
      </c>
      <c r="B77" s="44">
        <v>2775</v>
      </c>
      <c r="C77" s="44">
        <v>163</v>
      </c>
      <c r="D77" s="44">
        <v>140</v>
      </c>
      <c r="E77" s="44">
        <v>744</v>
      </c>
      <c r="F77" s="44">
        <v>347</v>
      </c>
      <c r="G77" s="44">
        <v>261</v>
      </c>
      <c r="H77" s="75"/>
      <c r="I77" s="260">
        <f t="shared" si="0"/>
        <v>59.18106206014075</v>
      </c>
      <c r="J77" s="260">
        <f t="shared" si="0"/>
        <v>3.4762209426316915</v>
      </c>
      <c r="K77" s="260">
        <f t="shared" si="0"/>
        <v>2.9857112390701643</v>
      </c>
      <c r="L77" s="58">
        <f>'Tabell 2'!C72</f>
        <v>4689</v>
      </c>
    </row>
    <row r="78" spans="1:12" ht="12.75">
      <c r="A78" s="69">
        <v>42916</v>
      </c>
      <c r="B78" s="44">
        <v>2802</v>
      </c>
      <c r="C78" s="44">
        <v>154</v>
      </c>
      <c r="D78" s="44">
        <v>134</v>
      </c>
      <c r="E78" s="44">
        <v>785</v>
      </c>
      <c r="F78" s="44">
        <v>348</v>
      </c>
      <c r="G78" s="44">
        <v>288</v>
      </c>
      <c r="H78" s="75"/>
      <c r="I78" s="260">
        <f t="shared" si="0"/>
        <v>59.553666312433585</v>
      </c>
      <c r="J78" s="260">
        <f t="shared" si="0"/>
        <v>3.273113708820404</v>
      </c>
      <c r="K78" s="260">
        <f t="shared" si="0"/>
        <v>2.8480340063761953</v>
      </c>
      <c r="L78" s="58">
        <f>'Tabell 2'!C73</f>
        <v>4705</v>
      </c>
    </row>
    <row r="79" spans="1:12" ht="12.75">
      <c r="A79" s="69">
        <v>43008</v>
      </c>
      <c r="B79" s="44">
        <v>2890</v>
      </c>
      <c r="C79" s="44">
        <v>154</v>
      </c>
      <c r="D79" s="44">
        <v>134</v>
      </c>
      <c r="E79" s="44">
        <v>823</v>
      </c>
      <c r="F79" s="44">
        <v>355</v>
      </c>
      <c r="G79" s="44">
        <v>315</v>
      </c>
      <c r="H79" s="75"/>
      <c r="I79" s="260">
        <f t="shared" si="0"/>
        <v>60.93189964157706</v>
      </c>
      <c r="J79" s="260">
        <f t="shared" si="0"/>
        <v>3.2468901539110266</v>
      </c>
      <c r="K79" s="260">
        <f t="shared" si="0"/>
        <v>2.825216107948556</v>
      </c>
      <c r="L79" s="58">
        <f>'Tabell 2'!C74</f>
        <v>4743</v>
      </c>
    </row>
    <row r="80" spans="1:12" ht="12.75">
      <c r="A80" s="69">
        <v>43100</v>
      </c>
      <c r="B80" s="44">
        <v>2934</v>
      </c>
      <c r="C80" s="44">
        <v>154</v>
      </c>
      <c r="D80" s="44">
        <v>132</v>
      </c>
      <c r="E80" s="44">
        <v>885</v>
      </c>
      <c r="F80" s="44">
        <v>357</v>
      </c>
      <c r="G80" s="44">
        <v>642</v>
      </c>
      <c r="H80" s="75"/>
      <c r="I80" s="260">
        <f aca="true" t="shared" si="1" ref="I80:K81">B80/$L80*100</f>
        <v>61.65160748056314</v>
      </c>
      <c r="J80" s="260">
        <f t="shared" si="1"/>
        <v>3.235973944105905</v>
      </c>
      <c r="K80" s="260">
        <f t="shared" si="1"/>
        <v>2.7736919520907755</v>
      </c>
      <c r="L80" s="58">
        <f>'Tabell 2'!C75</f>
        <v>4759</v>
      </c>
    </row>
    <row r="81" spans="1:12" ht="12.75">
      <c r="A81" s="69">
        <v>43190</v>
      </c>
      <c r="B81" s="44">
        <v>2970</v>
      </c>
      <c r="C81" s="44">
        <v>147</v>
      </c>
      <c r="D81" s="44">
        <v>127</v>
      </c>
      <c r="E81" s="44">
        <v>892</v>
      </c>
      <c r="F81" s="44">
        <v>344</v>
      </c>
      <c r="G81" s="44">
        <v>669</v>
      </c>
      <c r="H81" s="75"/>
      <c r="I81" s="260">
        <f t="shared" si="1"/>
        <v>62.14689265536724</v>
      </c>
      <c r="J81" s="260">
        <f t="shared" si="1"/>
        <v>3.0759573132454485</v>
      </c>
      <c r="K81" s="260">
        <f t="shared" si="1"/>
        <v>2.6574597196066123</v>
      </c>
      <c r="L81" s="58">
        <f>'Tabell 2'!C76</f>
        <v>4779</v>
      </c>
    </row>
    <row r="82" spans="1:12" ht="12.75">
      <c r="A82" s="69">
        <v>43281</v>
      </c>
      <c r="B82" s="44">
        <v>3075</v>
      </c>
      <c r="C82" s="44">
        <v>158</v>
      </c>
      <c r="D82" s="44">
        <v>147</v>
      </c>
      <c r="E82" s="44">
        <v>943</v>
      </c>
      <c r="F82" s="44">
        <v>353</v>
      </c>
      <c r="G82" s="44">
        <v>691</v>
      </c>
      <c r="H82" s="75"/>
      <c r="I82" s="260">
        <f aca="true" t="shared" si="2" ref="I82:K83">B82/$L82*100</f>
        <v>64.34400502197113</v>
      </c>
      <c r="J82" s="260">
        <f t="shared" si="2"/>
        <v>3.306130989746809</v>
      </c>
      <c r="K82" s="260">
        <f t="shared" si="2"/>
        <v>3.0759573132454485</v>
      </c>
      <c r="L82" s="58">
        <f>'Tabell 2'!C77</f>
        <v>4779</v>
      </c>
    </row>
    <row r="83" spans="1:12" ht="12.75">
      <c r="A83" s="69">
        <v>43373</v>
      </c>
      <c r="B83" s="44">
        <v>3066</v>
      </c>
      <c r="C83" s="44">
        <v>157</v>
      </c>
      <c r="D83" s="44">
        <v>146</v>
      </c>
      <c r="E83" s="44">
        <v>953</v>
      </c>
      <c r="F83" s="44">
        <v>339</v>
      </c>
      <c r="G83" s="44">
        <v>714</v>
      </c>
      <c r="H83" s="75"/>
      <c r="I83" s="260">
        <f t="shared" si="2"/>
        <v>63.78198460578324</v>
      </c>
      <c r="J83" s="260">
        <f t="shared" si="2"/>
        <v>3.2660703141252343</v>
      </c>
      <c r="K83" s="260">
        <f t="shared" si="2"/>
        <v>3.037237362180154</v>
      </c>
      <c r="L83" s="58">
        <f>'Tabell 2'!C78</f>
        <v>4807</v>
      </c>
    </row>
    <row r="84" spans="1:12" ht="12.75">
      <c r="A84" s="69">
        <v>43465</v>
      </c>
      <c r="B84" s="44">
        <v>3105</v>
      </c>
      <c r="C84" s="44">
        <v>162</v>
      </c>
      <c r="D84" s="44">
        <v>150</v>
      </c>
      <c r="E84" s="44">
        <v>996</v>
      </c>
      <c r="F84" s="44">
        <v>326</v>
      </c>
      <c r="G84" s="44">
        <v>734</v>
      </c>
      <c r="H84" s="75"/>
      <c r="I84" s="260">
        <f>B84/$L84*100</f>
        <v>64.49937681761529</v>
      </c>
      <c r="J84" s="260">
        <f>C84/$L84*100</f>
        <v>3.3651848774407975</v>
      </c>
      <c r="K84" s="260">
        <f>D84/$L84*100</f>
        <v>3.1159119235562938</v>
      </c>
      <c r="L84" s="58">
        <f>'Tabell 2'!C79</f>
        <v>4814</v>
      </c>
    </row>
    <row r="85" ht="12.75">
      <c r="A85" s="35" t="s">
        <v>55</v>
      </c>
    </row>
    <row r="86" ht="12.75">
      <c r="A86" s="94" t="s">
        <v>126</v>
      </c>
    </row>
    <row r="87" ht="12.75">
      <c r="A87" t="s">
        <v>201</v>
      </c>
    </row>
    <row r="88" spans="3:10" ht="12.75">
      <c r="C88" s="56"/>
      <c r="E88" s="66"/>
      <c r="F88" s="24"/>
      <c r="G88" s="67"/>
      <c r="H88" s="67"/>
      <c r="J88" s="56"/>
    </row>
    <row r="89" spans="1:10" ht="12.75">
      <c r="A89" s="16"/>
      <c r="B89" s="16"/>
      <c r="C89" s="56"/>
      <c r="E89" s="66"/>
      <c r="F89" s="16"/>
      <c r="G89" s="20"/>
      <c r="H89" s="20"/>
      <c r="I89" s="16"/>
      <c r="J89" s="56"/>
    </row>
    <row r="90" spans="1:10" ht="12.75">
      <c r="A90" s="16"/>
      <c r="B90" s="39"/>
      <c r="C90" s="55"/>
      <c r="E90" s="66"/>
      <c r="F90" s="66"/>
      <c r="G90" s="16"/>
      <c r="H90" s="20"/>
      <c r="I90" s="39"/>
      <c r="J90" s="55"/>
    </row>
    <row r="91" spans="1:10" ht="12.75">
      <c r="A91" s="16"/>
      <c r="B91" s="39"/>
      <c r="C91" s="38"/>
      <c r="E91" s="66"/>
      <c r="F91" s="66"/>
      <c r="G91" s="16"/>
      <c r="H91" s="20"/>
      <c r="I91" s="39"/>
      <c r="J91" s="38"/>
    </row>
    <row r="92" spans="1:10" ht="12.75">
      <c r="A92" s="16"/>
      <c r="B92" s="39"/>
      <c r="C92" s="55"/>
      <c r="E92" s="66"/>
      <c r="F92" s="66"/>
      <c r="G92" s="16"/>
      <c r="H92" s="20"/>
      <c r="I92" s="39"/>
      <c r="J92" s="55"/>
    </row>
    <row r="93" spans="1:10" ht="12.75">
      <c r="A93" s="16"/>
      <c r="B93" s="39"/>
      <c r="C93" s="58"/>
      <c r="E93" s="66"/>
      <c r="F93" s="66"/>
      <c r="G93" s="16"/>
      <c r="H93" s="20"/>
      <c r="I93" s="39"/>
      <c r="J93" s="58"/>
    </row>
    <row r="94" spans="1:10" ht="12.75">
      <c r="A94" s="16"/>
      <c r="B94" s="39"/>
      <c r="C94" s="58"/>
      <c r="E94" s="66"/>
      <c r="F94" s="66"/>
      <c r="G94" s="16"/>
      <c r="H94" s="20"/>
      <c r="I94" s="39"/>
      <c r="J94" s="58"/>
    </row>
    <row r="95" spans="1:10" ht="12.75">
      <c r="A95" s="16"/>
      <c r="B95" s="39"/>
      <c r="C95" s="58"/>
      <c r="E95" s="66"/>
      <c r="F95" s="66"/>
      <c r="G95" s="16"/>
      <c r="H95" s="20"/>
      <c r="I95" s="39"/>
      <c r="J95" s="58"/>
    </row>
    <row r="96" spans="1:10" ht="12.75">
      <c r="A96" s="16"/>
      <c r="B96" s="16"/>
      <c r="C96" s="39"/>
      <c r="E96" s="16"/>
      <c r="F96" s="16"/>
      <c r="G96" s="16"/>
      <c r="H96" s="20"/>
      <c r="I96" s="16"/>
      <c r="J96" s="3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7"/>
  <sheetViews>
    <sheetView zoomScalePageLayoutView="0" workbookViewId="0" topLeftCell="A4">
      <pane ySplit="4" topLeftCell="A35" activePane="bottomLeft" state="frozen"/>
      <selection pane="topLeft" activeCell="A4" sqref="A4"/>
      <selection pane="bottomLeft" activeCell="A78" sqref="A78:G78"/>
    </sheetView>
  </sheetViews>
  <sheetFormatPr defaultColWidth="11.421875" defaultRowHeight="12.75"/>
  <cols>
    <col min="1" max="1" width="11.57421875" style="0" customWidth="1"/>
    <col min="2" max="2" width="13.00390625" style="0" customWidth="1"/>
    <col min="3" max="3" width="16.28125" style="0" customWidth="1"/>
    <col min="4" max="4" width="13.8515625" style="0" customWidth="1"/>
    <col min="5" max="5" width="11.140625" style="0" hidden="1" customWidth="1"/>
    <col min="6" max="6" width="11.140625" style="0" customWidth="1"/>
    <col min="7" max="7" width="14.140625" style="0" customWidth="1"/>
    <col min="8" max="10" width="9.7109375" style="0" customWidth="1"/>
  </cols>
  <sheetData>
    <row r="1" ht="12.75">
      <c r="A1" s="27" t="s">
        <v>203</v>
      </c>
    </row>
    <row r="2" ht="12.75">
      <c r="A2" s="27"/>
    </row>
    <row r="3" spans="1:7" ht="12.75">
      <c r="A3" s="33"/>
      <c r="D3" s="13" t="s">
        <v>24</v>
      </c>
      <c r="G3" s="13" t="s">
        <v>24</v>
      </c>
    </row>
    <row r="4" spans="1:7" ht="12.75">
      <c r="A4" s="33"/>
      <c r="B4" s="13" t="s">
        <v>24</v>
      </c>
      <c r="C4" s="13" t="s">
        <v>24</v>
      </c>
      <c r="D4" s="13" t="s">
        <v>60</v>
      </c>
      <c r="E4" s="13" t="s">
        <v>24</v>
      </c>
      <c r="F4" s="13" t="s">
        <v>24</v>
      </c>
      <c r="G4" s="13" t="s">
        <v>60</v>
      </c>
    </row>
    <row r="5" spans="1:7" ht="12.75">
      <c r="A5" s="33"/>
      <c r="B5" s="13" t="s">
        <v>60</v>
      </c>
      <c r="C5" s="13" t="s">
        <v>60</v>
      </c>
      <c r="D5" s="13" t="s">
        <v>63</v>
      </c>
      <c r="E5" s="13" t="s">
        <v>204</v>
      </c>
      <c r="F5" s="13" t="s">
        <v>112</v>
      </c>
      <c r="G5" s="13" t="s">
        <v>70</v>
      </c>
    </row>
    <row r="6" spans="1:7" ht="12.75">
      <c r="A6" s="33"/>
      <c r="B6" s="13" t="s">
        <v>63</v>
      </c>
      <c r="C6" s="37" t="s">
        <v>65</v>
      </c>
      <c r="D6" s="13" t="s">
        <v>128</v>
      </c>
      <c r="E6" s="13" t="s">
        <v>68</v>
      </c>
      <c r="F6" s="13" t="s">
        <v>49</v>
      </c>
      <c r="G6" s="13" t="s">
        <v>71</v>
      </c>
    </row>
    <row r="7" spans="1:7" ht="12.75">
      <c r="A7" s="100"/>
      <c r="B7" s="12" t="s">
        <v>64</v>
      </c>
      <c r="C7" s="101" t="s">
        <v>412</v>
      </c>
      <c r="D7" s="12" t="s">
        <v>413</v>
      </c>
      <c r="E7" s="101" t="s">
        <v>69</v>
      </c>
      <c r="F7" s="101" t="s">
        <v>72</v>
      </c>
      <c r="G7" s="12" t="s">
        <v>72</v>
      </c>
    </row>
    <row r="8" spans="1:7" ht="14.25">
      <c r="A8" s="38" t="s">
        <v>66</v>
      </c>
      <c r="B8" s="40">
        <v>4177640</v>
      </c>
      <c r="C8" s="40">
        <v>265721</v>
      </c>
      <c r="D8" s="26">
        <f aca="true" t="shared" si="0" ref="D8:D17">B8+C8</f>
        <v>4443361</v>
      </c>
      <c r="E8" s="40">
        <v>39672</v>
      </c>
      <c r="F8" s="26">
        <f aca="true" t="shared" si="1" ref="F8:F17">D8+E8</f>
        <v>4483033</v>
      </c>
      <c r="G8" s="40">
        <v>24462</v>
      </c>
    </row>
    <row r="9" spans="1:7" ht="12.75">
      <c r="A9" s="38">
        <v>37072</v>
      </c>
      <c r="B9" s="40">
        <v>4250703</v>
      </c>
      <c r="C9" s="40">
        <v>200705</v>
      </c>
      <c r="D9" s="26">
        <f t="shared" si="0"/>
        <v>4451408</v>
      </c>
      <c r="E9" s="40">
        <v>43678</v>
      </c>
      <c r="F9" s="26">
        <f t="shared" si="1"/>
        <v>4495086</v>
      </c>
      <c r="G9" s="40">
        <v>25072</v>
      </c>
    </row>
    <row r="10" spans="1:7" ht="12.75">
      <c r="A10" s="38">
        <v>37164</v>
      </c>
      <c r="B10" s="40">
        <v>4335920</v>
      </c>
      <c r="C10" s="40">
        <v>133814</v>
      </c>
      <c r="D10" s="26">
        <f t="shared" si="0"/>
        <v>4469734</v>
      </c>
      <c r="E10" s="40">
        <v>34999</v>
      </c>
      <c r="F10" s="26">
        <f t="shared" si="1"/>
        <v>4504733</v>
      </c>
      <c r="G10" s="40">
        <v>24168</v>
      </c>
    </row>
    <row r="11" spans="1:7" ht="12.75">
      <c r="A11" s="38">
        <v>37256</v>
      </c>
      <c r="B11" s="40">
        <v>4372498</v>
      </c>
      <c r="C11" s="40">
        <v>108502</v>
      </c>
      <c r="D11" s="26">
        <f t="shared" si="0"/>
        <v>4481000</v>
      </c>
      <c r="E11" s="68">
        <v>30764</v>
      </c>
      <c r="F11" s="26">
        <f t="shared" si="1"/>
        <v>4511764</v>
      </c>
      <c r="G11" s="68">
        <v>22582</v>
      </c>
    </row>
    <row r="12" spans="1:7" ht="12.75">
      <c r="A12" s="38">
        <v>37346</v>
      </c>
      <c r="B12" s="40">
        <v>4414814</v>
      </c>
      <c r="C12" s="40">
        <v>85376</v>
      </c>
      <c r="D12" s="26">
        <f t="shared" si="0"/>
        <v>4500190</v>
      </c>
      <c r="E12" s="40">
        <v>15223</v>
      </c>
      <c r="F12" s="26">
        <f t="shared" si="1"/>
        <v>4515413</v>
      </c>
      <c r="G12" s="40">
        <v>21500</v>
      </c>
    </row>
    <row r="13" spans="1:7" ht="12.75">
      <c r="A13" s="69">
        <v>37437</v>
      </c>
      <c r="B13" s="68">
        <v>4424202</v>
      </c>
      <c r="C13" s="68">
        <v>85807</v>
      </c>
      <c r="D13" s="29">
        <f t="shared" si="0"/>
        <v>4510009</v>
      </c>
      <c r="E13" s="44">
        <v>11198</v>
      </c>
      <c r="F13" s="30">
        <f t="shared" si="1"/>
        <v>4521207</v>
      </c>
      <c r="G13" s="44">
        <v>20609</v>
      </c>
    </row>
    <row r="14" spans="1:7" ht="12.75">
      <c r="A14" s="95">
        <v>37529</v>
      </c>
      <c r="B14" s="68">
        <v>4439182</v>
      </c>
      <c r="C14" s="68">
        <v>78825</v>
      </c>
      <c r="D14" s="29">
        <f t="shared" si="0"/>
        <v>4518007</v>
      </c>
      <c r="E14" s="44">
        <v>13733</v>
      </c>
      <c r="F14" s="30">
        <f t="shared" si="1"/>
        <v>4531740</v>
      </c>
      <c r="G14" s="44">
        <v>20076</v>
      </c>
    </row>
    <row r="15" spans="1:7" s="16" customFormat="1" ht="12.75">
      <c r="A15" s="95">
        <v>37621</v>
      </c>
      <c r="B15" s="68">
        <v>4451531</v>
      </c>
      <c r="C15" s="68">
        <v>79563</v>
      </c>
      <c r="D15" s="29">
        <f t="shared" si="0"/>
        <v>4531094</v>
      </c>
      <c r="E15" s="44">
        <v>11838</v>
      </c>
      <c r="F15" s="30">
        <f t="shared" si="1"/>
        <v>4542932</v>
      </c>
      <c r="G15" s="44">
        <v>20372</v>
      </c>
    </row>
    <row r="16" spans="1:7" s="16" customFormat="1" ht="12.75">
      <c r="A16" s="95">
        <v>37711</v>
      </c>
      <c r="B16" s="68">
        <v>4464780</v>
      </c>
      <c r="C16" s="68">
        <v>73949</v>
      </c>
      <c r="D16" s="29">
        <f t="shared" si="0"/>
        <v>4538729</v>
      </c>
      <c r="E16" s="44">
        <v>8114</v>
      </c>
      <c r="F16" s="30">
        <f t="shared" si="1"/>
        <v>4546843</v>
      </c>
      <c r="G16" s="44">
        <v>20212</v>
      </c>
    </row>
    <row r="17" spans="1:7" ht="12.75">
      <c r="A17" s="95">
        <v>37802</v>
      </c>
      <c r="B17" s="68">
        <v>4463992</v>
      </c>
      <c r="C17" s="68">
        <v>78100</v>
      </c>
      <c r="D17" s="29">
        <f t="shared" si="0"/>
        <v>4542092</v>
      </c>
      <c r="E17" s="44">
        <v>13046</v>
      </c>
      <c r="F17" s="30">
        <f t="shared" si="1"/>
        <v>4555138</v>
      </c>
      <c r="G17" s="44">
        <v>20345</v>
      </c>
    </row>
    <row r="18" spans="1:7" ht="12.75">
      <c r="A18" s="95">
        <v>37894</v>
      </c>
      <c r="B18" s="68">
        <v>4474195</v>
      </c>
      <c r="C18" s="68">
        <v>80666</v>
      </c>
      <c r="D18" s="29">
        <f aca="true" t="shared" si="2" ref="D18:D23">B18+C18</f>
        <v>4554861</v>
      </c>
      <c r="E18" s="44">
        <v>9621</v>
      </c>
      <c r="F18" s="30">
        <f aca="true" t="shared" si="3" ref="F18:F23">D18+E18</f>
        <v>4564482</v>
      </c>
      <c r="G18" s="44">
        <v>20343</v>
      </c>
    </row>
    <row r="19" spans="1:7" ht="12.75">
      <c r="A19" s="95">
        <v>37986</v>
      </c>
      <c r="B19" s="68">
        <v>4496102</v>
      </c>
      <c r="C19" s="68">
        <v>67649</v>
      </c>
      <c r="D19" s="29">
        <f t="shared" si="2"/>
        <v>4563751</v>
      </c>
      <c r="E19" s="44">
        <v>10512</v>
      </c>
      <c r="F19" s="30">
        <f t="shared" si="3"/>
        <v>4574263</v>
      </c>
      <c r="G19" s="44">
        <v>20686</v>
      </c>
    </row>
    <row r="20" spans="1:7" ht="12.75">
      <c r="A20" s="95">
        <v>38077</v>
      </c>
      <c r="B20" s="68">
        <v>4507688</v>
      </c>
      <c r="C20" s="68">
        <v>62197</v>
      </c>
      <c r="D20" s="29">
        <f t="shared" si="2"/>
        <v>4569885</v>
      </c>
      <c r="E20" s="44">
        <v>8091</v>
      </c>
      <c r="F20" s="30">
        <f t="shared" si="3"/>
        <v>4577976</v>
      </c>
      <c r="G20" s="44">
        <v>20881</v>
      </c>
    </row>
    <row r="21" spans="1:7" ht="12.75">
      <c r="A21" s="95">
        <v>38168</v>
      </c>
      <c r="B21" s="68">
        <v>4511322</v>
      </c>
      <c r="C21" s="68">
        <v>65547</v>
      </c>
      <c r="D21" s="29">
        <f t="shared" si="2"/>
        <v>4576869</v>
      </c>
      <c r="E21" s="44">
        <v>8165</v>
      </c>
      <c r="F21" s="30">
        <f t="shared" si="3"/>
        <v>4585034</v>
      </c>
      <c r="G21" s="44">
        <v>21184</v>
      </c>
    </row>
    <row r="22" spans="1:7" ht="12.75">
      <c r="A22" s="95">
        <v>38260</v>
      </c>
      <c r="B22" s="68">
        <v>4516179</v>
      </c>
      <c r="C22" s="68">
        <v>69628</v>
      </c>
      <c r="D22" s="29">
        <f t="shared" si="2"/>
        <v>4585807</v>
      </c>
      <c r="E22" s="44">
        <v>8551</v>
      </c>
      <c r="F22" s="30">
        <f t="shared" si="3"/>
        <v>4594358</v>
      </c>
      <c r="G22" s="44">
        <v>21650</v>
      </c>
    </row>
    <row r="23" spans="1:7" ht="12.75">
      <c r="A23" s="95">
        <v>38352</v>
      </c>
      <c r="B23" s="68">
        <v>4528778</v>
      </c>
      <c r="C23" s="68">
        <v>65432</v>
      </c>
      <c r="D23" s="29">
        <f t="shared" si="2"/>
        <v>4594210</v>
      </c>
      <c r="E23" s="44">
        <v>9525</v>
      </c>
      <c r="F23" s="30">
        <f t="shared" si="3"/>
        <v>4603735</v>
      </c>
      <c r="G23" s="44">
        <v>21700</v>
      </c>
    </row>
    <row r="24" spans="1:7" ht="12.75">
      <c r="A24" s="95">
        <v>38442</v>
      </c>
      <c r="B24" s="68">
        <v>4540405</v>
      </c>
      <c r="C24" s="68">
        <v>62356</v>
      </c>
      <c r="D24" s="29">
        <f aca="true" t="shared" si="4" ref="D24:D29">B24+C24</f>
        <v>4602761</v>
      </c>
      <c r="E24" s="44">
        <v>6908</v>
      </c>
      <c r="F24" s="30">
        <f aca="true" t="shared" si="5" ref="F24:F29">D24+E24</f>
        <v>4609669</v>
      </c>
      <c r="G24" s="44">
        <v>21546</v>
      </c>
    </row>
    <row r="25" spans="1:7" ht="12.75">
      <c r="A25" s="95">
        <v>38533</v>
      </c>
      <c r="B25" s="68">
        <v>4547637</v>
      </c>
      <c r="C25" s="68">
        <v>62136</v>
      </c>
      <c r="D25" s="29">
        <f t="shared" si="4"/>
        <v>4609773</v>
      </c>
      <c r="E25" s="44">
        <v>6908</v>
      </c>
      <c r="F25" s="30">
        <f t="shared" si="5"/>
        <v>4616681</v>
      </c>
      <c r="G25" s="44">
        <v>21505</v>
      </c>
    </row>
    <row r="26" spans="1:7" ht="12.75">
      <c r="A26" s="95">
        <v>38625</v>
      </c>
      <c r="B26" s="68">
        <v>4548537</v>
      </c>
      <c r="C26" s="68">
        <v>70653</v>
      </c>
      <c r="D26" s="29">
        <f t="shared" si="4"/>
        <v>4619190</v>
      </c>
      <c r="E26" s="44">
        <v>8532</v>
      </c>
      <c r="F26" s="30">
        <f t="shared" si="5"/>
        <v>4627722</v>
      </c>
      <c r="G26" s="44">
        <v>21496</v>
      </c>
    </row>
    <row r="27" spans="1:7" ht="12.75">
      <c r="A27" s="95">
        <v>38717</v>
      </c>
      <c r="B27" s="68">
        <v>4552407</v>
      </c>
      <c r="C27" s="68">
        <v>74530</v>
      </c>
      <c r="D27" s="29">
        <f t="shared" si="4"/>
        <v>4626937</v>
      </c>
      <c r="E27" s="44">
        <v>8790</v>
      </c>
      <c r="F27" s="30">
        <f t="shared" si="5"/>
        <v>4635727</v>
      </c>
      <c r="G27" s="44">
        <v>21720</v>
      </c>
    </row>
    <row r="28" spans="1:7" ht="12.75">
      <c r="A28" s="95">
        <v>38807</v>
      </c>
      <c r="B28" s="68">
        <v>4575086</v>
      </c>
      <c r="C28" s="68">
        <v>60188</v>
      </c>
      <c r="D28" s="29">
        <f t="shared" si="4"/>
        <v>4635274</v>
      </c>
      <c r="E28" s="44">
        <v>9139</v>
      </c>
      <c r="F28" s="30">
        <f t="shared" si="5"/>
        <v>4644413</v>
      </c>
      <c r="G28" s="44">
        <v>21552</v>
      </c>
    </row>
    <row r="29" spans="1:7" ht="12.75">
      <c r="A29" s="95">
        <v>38898</v>
      </c>
      <c r="B29" s="68">
        <v>4587897</v>
      </c>
      <c r="C29" s="68">
        <v>57895</v>
      </c>
      <c r="D29" s="29">
        <f t="shared" si="4"/>
        <v>4645792</v>
      </c>
      <c r="E29" s="44">
        <v>9172</v>
      </c>
      <c r="F29" s="30">
        <f t="shared" si="5"/>
        <v>4654964</v>
      </c>
      <c r="G29" s="44">
        <v>21366</v>
      </c>
    </row>
    <row r="30" spans="1:7" ht="12.75">
      <c r="A30" s="95">
        <v>38990</v>
      </c>
      <c r="B30" s="68">
        <v>4601457</v>
      </c>
      <c r="C30" s="68">
        <v>52822</v>
      </c>
      <c r="D30" s="29">
        <f aca="true" t="shared" si="6" ref="D30:D35">B30+C30</f>
        <v>4654279</v>
      </c>
      <c r="E30" s="44">
        <v>11555</v>
      </c>
      <c r="F30" s="30">
        <f aca="true" t="shared" si="7" ref="F30:F35">D30+E30</f>
        <v>4665834</v>
      </c>
      <c r="G30" s="44">
        <v>21373</v>
      </c>
    </row>
    <row r="31" spans="1:7" ht="12.75">
      <c r="A31" s="95">
        <v>39082</v>
      </c>
      <c r="B31" s="68">
        <v>4616449</v>
      </c>
      <c r="C31" s="68">
        <v>50493</v>
      </c>
      <c r="D31" s="29">
        <f t="shared" si="6"/>
        <v>4666942</v>
      </c>
      <c r="E31" s="44">
        <v>12096</v>
      </c>
      <c r="F31" s="30">
        <f t="shared" si="7"/>
        <v>4679038</v>
      </c>
      <c r="G31" s="44">
        <v>21483</v>
      </c>
    </row>
    <row r="32" spans="1:7" ht="12.75">
      <c r="A32" s="95">
        <v>39172</v>
      </c>
      <c r="B32" s="68">
        <v>4623196</v>
      </c>
      <c r="C32" s="68">
        <v>54990</v>
      </c>
      <c r="D32" s="29">
        <f t="shared" si="6"/>
        <v>4678186</v>
      </c>
      <c r="E32" s="44">
        <v>10230</v>
      </c>
      <c r="F32" s="30">
        <f t="shared" si="7"/>
        <v>4688416</v>
      </c>
      <c r="G32" s="44">
        <v>21527</v>
      </c>
    </row>
    <row r="33" spans="1:7" ht="12.75">
      <c r="A33" s="95">
        <v>39263</v>
      </c>
      <c r="B33" s="68">
        <v>4640625</v>
      </c>
      <c r="C33" s="68">
        <v>49902</v>
      </c>
      <c r="D33" s="29">
        <f t="shared" si="6"/>
        <v>4690527</v>
      </c>
      <c r="E33" s="44">
        <v>10520</v>
      </c>
      <c r="F33" s="30">
        <f t="shared" si="7"/>
        <v>4701047</v>
      </c>
      <c r="G33" s="44">
        <v>21525</v>
      </c>
    </row>
    <row r="34" spans="1:7" ht="12.75">
      <c r="A34" s="95">
        <v>39355</v>
      </c>
      <c r="B34" s="68">
        <v>4647896</v>
      </c>
      <c r="C34" s="68">
        <v>55897</v>
      </c>
      <c r="D34" s="29">
        <f t="shared" si="6"/>
        <v>4703793</v>
      </c>
      <c r="E34" s="44">
        <v>12973</v>
      </c>
      <c r="F34" s="30">
        <f t="shared" si="7"/>
        <v>4716766</v>
      </c>
      <c r="G34" s="44">
        <v>21589</v>
      </c>
    </row>
    <row r="35" spans="1:7" ht="12.75">
      <c r="A35" s="95">
        <v>39447</v>
      </c>
      <c r="B35" s="68">
        <v>4664841</v>
      </c>
      <c r="C35" s="68">
        <v>54087</v>
      </c>
      <c r="D35" s="29">
        <f t="shared" si="6"/>
        <v>4718928</v>
      </c>
      <c r="E35" s="44">
        <v>17533</v>
      </c>
      <c r="F35" s="30">
        <f t="shared" si="7"/>
        <v>4736461</v>
      </c>
      <c r="G35" s="44">
        <v>21438</v>
      </c>
    </row>
    <row r="36" spans="1:8" ht="12.75">
      <c r="A36" s="95">
        <v>39538</v>
      </c>
      <c r="B36" s="68">
        <v>4689405</v>
      </c>
      <c r="C36" s="68">
        <v>47709</v>
      </c>
      <c r="D36" s="29">
        <f aca="true" t="shared" si="8" ref="D36:D48">B36+C36</f>
        <v>4737114</v>
      </c>
      <c r="E36" s="44">
        <v>13725</v>
      </c>
      <c r="F36" s="30">
        <f aca="true" t="shared" si="9" ref="F36:F48">D36+E36</f>
        <v>4750839</v>
      </c>
      <c r="G36" s="44">
        <v>21270</v>
      </c>
      <c r="H36" s="26"/>
    </row>
    <row r="37" spans="1:7" ht="12.75">
      <c r="A37" s="95">
        <v>39629</v>
      </c>
      <c r="B37" s="68">
        <v>4710188</v>
      </c>
      <c r="C37" s="68">
        <v>43832</v>
      </c>
      <c r="D37" s="29">
        <f t="shared" si="8"/>
        <v>4754020</v>
      </c>
      <c r="E37" s="44">
        <v>13127</v>
      </c>
      <c r="F37" s="30">
        <f t="shared" si="9"/>
        <v>4767147</v>
      </c>
      <c r="G37" s="44">
        <v>21053</v>
      </c>
    </row>
    <row r="38" spans="1:7" ht="12.75">
      <c r="A38" s="95">
        <v>39721</v>
      </c>
      <c r="B38" s="68">
        <v>4727276</v>
      </c>
      <c r="C38" s="68">
        <v>41116</v>
      </c>
      <c r="D38" s="29">
        <f t="shared" si="8"/>
        <v>4768392</v>
      </c>
      <c r="E38" s="44">
        <v>14220</v>
      </c>
      <c r="F38" s="30">
        <f t="shared" si="9"/>
        <v>4782612</v>
      </c>
      <c r="G38" s="44">
        <v>20808</v>
      </c>
    </row>
    <row r="39" spans="1:7" ht="12.75">
      <c r="A39" s="95">
        <v>39813</v>
      </c>
      <c r="B39" s="68">
        <v>4738065</v>
      </c>
      <c r="C39" s="68">
        <v>48493</v>
      </c>
      <c r="D39" s="29">
        <f t="shared" si="8"/>
        <v>4786558</v>
      </c>
      <c r="E39" s="44">
        <v>15452</v>
      </c>
      <c r="F39" s="30">
        <f t="shared" si="9"/>
        <v>4802010</v>
      </c>
      <c r="G39" s="44">
        <v>20478</v>
      </c>
    </row>
    <row r="40" spans="1:7" ht="12.75">
      <c r="A40" s="95">
        <v>39903</v>
      </c>
      <c r="B40" s="68">
        <v>4757172</v>
      </c>
      <c r="C40" s="68">
        <v>45106</v>
      </c>
      <c r="D40" s="29">
        <f t="shared" si="8"/>
        <v>4802278</v>
      </c>
      <c r="E40" s="44">
        <v>13879</v>
      </c>
      <c r="F40" s="30">
        <f t="shared" si="9"/>
        <v>4816157</v>
      </c>
      <c r="G40" s="44">
        <v>20136</v>
      </c>
    </row>
    <row r="41" spans="1:7" ht="12.75">
      <c r="A41" s="95">
        <v>39994</v>
      </c>
      <c r="B41" s="68">
        <v>4778147</v>
      </c>
      <c r="C41" s="68">
        <v>40253</v>
      </c>
      <c r="D41" s="29">
        <f t="shared" si="8"/>
        <v>4818400</v>
      </c>
      <c r="E41" s="44">
        <v>11694</v>
      </c>
      <c r="F41" s="30">
        <f t="shared" si="9"/>
        <v>4830094</v>
      </c>
      <c r="G41" s="44">
        <v>20156</v>
      </c>
    </row>
    <row r="42" spans="1:7" ht="12.75">
      <c r="A42" s="95">
        <v>40086</v>
      </c>
      <c r="B42" s="68">
        <v>4787223</v>
      </c>
      <c r="C42" s="68">
        <v>44638</v>
      </c>
      <c r="D42" s="29">
        <f t="shared" si="8"/>
        <v>4831861</v>
      </c>
      <c r="E42" s="44">
        <v>12897</v>
      </c>
      <c r="F42" s="30">
        <f t="shared" si="9"/>
        <v>4844758</v>
      </c>
      <c r="G42" s="44">
        <v>20221</v>
      </c>
    </row>
    <row r="43" spans="1:7" ht="12.75">
      <c r="A43" s="95">
        <v>40178</v>
      </c>
      <c r="B43" s="68">
        <v>4803703</v>
      </c>
      <c r="C43" s="68">
        <v>46391</v>
      </c>
      <c r="D43" s="29">
        <f t="shared" si="8"/>
        <v>4850094</v>
      </c>
      <c r="E43" s="44">
        <v>17422</v>
      </c>
      <c r="F43" s="30">
        <f t="shared" si="9"/>
        <v>4867516</v>
      </c>
      <c r="G43" s="44">
        <v>20078</v>
      </c>
    </row>
    <row r="44" spans="1:7" ht="12.75">
      <c r="A44" s="95">
        <v>40268</v>
      </c>
      <c r="B44" s="68">
        <v>4822256</v>
      </c>
      <c r="C44" s="68">
        <v>46397</v>
      </c>
      <c r="D44" s="29">
        <f t="shared" si="8"/>
        <v>4868653</v>
      </c>
      <c r="E44" s="44">
        <v>17379</v>
      </c>
      <c r="F44" s="30">
        <f t="shared" si="9"/>
        <v>4886032</v>
      </c>
      <c r="G44" s="44">
        <v>20168</v>
      </c>
    </row>
    <row r="45" spans="1:7" ht="12.75">
      <c r="A45" s="95">
        <v>40359</v>
      </c>
      <c r="B45" s="68">
        <v>4843230</v>
      </c>
      <c r="C45" s="68">
        <v>41780</v>
      </c>
      <c r="D45" s="29">
        <f t="shared" si="8"/>
        <v>4885010</v>
      </c>
      <c r="E45" s="44">
        <v>13811</v>
      </c>
      <c r="F45" s="30">
        <f t="shared" si="9"/>
        <v>4898821</v>
      </c>
      <c r="G45" s="44">
        <v>20425</v>
      </c>
    </row>
    <row r="46" spans="1:7" ht="12.75">
      <c r="A46" s="95">
        <v>40451</v>
      </c>
      <c r="B46" s="68">
        <v>4851455</v>
      </c>
      <c r="C46" s="68">
        <v>47191</v>
      </c>
      <c r="D46" s="29">
        <f t="shared" si="8"/>
        <v>4898646</v>
      </c>
      <c r="E46" s="44">
        <v>17062</v>
      </c>
      <c r="F46" s="30">
        <f t="shared" si="9"/>
        <v>4915708</v>
      </c>
      <c r="G46" s="44">
        <v>20705</v>
      </c>
    </row>
    <row r="47" spans="1:7" ht="12.75">
      <c r="A47" s="95">
        <v>40543</v>
      </c>
      <c r="B47" s="68">
        <v>4864448</v>
      </c>
      <c r="C47" s="68">
        <v>50924</v>
      </c>
      <c r="D47" s="29">
        <f t="shared" si="8"/>
        <v>4915372</v>
      </c>
      <c r="E47" s="44">
        <v>20100</v>
      </c>
      <c r="F47" s="30">
        <f t="shared" si="9"/>
        <v>4935472</v>
      </c>
      <c r="G47" s="44">
        <v>21027</v>
      </c>
    </row>
    <row r="48" spans="1:7" ht="12.75">
      <c r="A48" s="95">
        <v>40633</v>
      </c>
      <c r="B48" s="68">
        <v>4886723</v>
      </c>
      <c r="C48" s="68">
        <v>47998</v>
      </c>
      <c r="D48" s="29">
        <f t="shared" si="8"/>
        <v>4934721</v>
      </c>
      <c r="E48" s="44">
        <v>14978</v>
      </c>
      <c r="F48" s="30">
        <f t="shared" si="9"/>
        <v>4949699</v>
      </c>
      <c r="G48" s="44">
        <v>20917</v>
      </c>
    </row>
    <row r="49" spans="1:7" ht="12.75">
      <c r="A49" s="95">
        <v>40724</v>
      </c>
      <c r="B49" s="68">
        <v>4906893</v>
      </c>
      <c r="C49" s="68">
        <v>39782</v>
      </c>
      <c r="D49" s="29">
        <f aca="true" t="shared" si="10" ref="D49:D55">B49+C49</f>
        <v>4946675</v>
      </c>
      <c r="E49" s="44">
        <v>18820</v>
      </c>
      <c r="F49" s="30">
        <f aca="true" t="shared" si="11" ref="F49:F55">D49+E49</f>
        <v>4965495</v>
      </c>
      <c r="G49" s="44">
        <v>21227</v>
      </c>
    </row>
    <row r="50" spans="1:7" ht="12.75">
      <c r="A50" s="95">
        <v>40816</v>
      </c>
      <c r="B50" s="68">
        <v>4922894</v>
      </c>
      <c r="C50" s="68">
        <v>40578</v>
      </c>
      <c r="D50" s="29">
        <f t="shared" si="10"/>
        <v>4963472</v>
      </c>
      <c r="E50" s="44">
        <v>18951</v>
      </c>
      <c r="F50" s="30">
        <f t="shared" si="11"/>
        <v>4982423</v>
      </c>
      <c r="G50" s="44">
        <v>21438</v>
      </c>
    </row>
    <row r="51" spans="1:7" ht="12.75">
      <c r="A51" s="95">
        <v>40908</v>
      </c>
      <c r="B51" s="68">
        <v>4938738</v>
      </c>
      <c r="C51" s="68">
        <v>41834</v>
      </c>
      <c r="D51" s="29">
        <f t="shared" si="10"/>
        <v>4980572</v>
      </c>
      <c r="E51" s="44">
        <v>22022</v>
      </c>
      <c r="F51" s="30">
        <f t="shared" si="11"/>
        <v>5002594</v>
      </c>
      <c r="G51" s="44">
        <v>21595</v>
      </c>
    </row>
    <row r="52" spans="1:7" ht="12.75">
      <c r="A52" s="95">
        <v>40999</v>
      </c>
      <c r="B52" s="68">
        <v>4960314</v>
      </c>
      <c r="C52" s="68">
        <v>37133</v>
      </c>
      <c r="D52" s="29">
        <f t="shared" si="10"/>
        <v>4997447</v>
      </c>
      <c r="E52" s="44">
        <v>18527</v>
      </c>
      <c r="F52" s="30">
        <f t="shared" si="11"/>
        <v>5015974</v>
      </c>
      <c r="G52" s="44">
        <v>21690</v>
      </c>
    </row>
    <row r="53" spans="1:7" ht="12.75">
      <c r="A53" s="95">
        <v>41090</v>
      </c>
      <c r="B53" s="68">
        <v>4981898</v>
      </c>
      <c r="C53" s="68">
        <v>31621</v>
      </c>
      <c r="D53" s="29">
        <f t="shared" si="10"/>
        <v>5013519</v>
      </c>
      <c r="E53" s="44">
        <v>18895</v>
      </c>
      <c r="F53" s="30">
        <f t="shared" si="11"/>
        <v>5032414</v>
      </c>
      <c r="G53" s="44">
        <v>22022</v>
      </c>
    </row>
    <row r="54" spans="1:7" ht="12.75">
      <c r="A54" s="95">
        <v>41182</v>
      </c>
      <c r="B54" s="68">
        <v>4995650</v>
      </c>
      <c r="C54" s="68">
        <v>35968</v>
      </c>
      <c r="D54" s="29">
        <f t="shared" si="10"/>
        <v>5031618</v>
      </c>
      <c r="E54" s="44">
        <v>19026</v>
      </c>
      <c r="F54" s="30">
        <f t="shared" si="11"/>
        <v>5050644</v>
      </c>
      <c r="G54" s="44">
        <v>22190</v>
      </c>
    </row>
    <row r="55" spans="1:7" ht="12.75">
      <c r="A55" s="95">
        <v>41274</v>
      </c>
      <c r="B55" s="68">
        <v>5004871</v>
      </c>
      <c r="C55" s="68">
        <v>42811</v>
      </c>
      <c r="D55" s="29">
        <f t="shared" si="10"/>
        <v>5047682</v>
      </c>
      <c r="E55" s="44">
        <v>22096</v>
      </c>
      <c r="F55" s="30">
        <f t="shared" si="11"/>
        <v>5069778</v>
      </c>
      <c r="G55" s="44">
        <v>22424</v>
      </c>
    </row>
    <row r="56" spans="1:7" ht="12.75">
      <c r="A56" s="95">
        <v>41364</v>
      </c>
      <c r="B56" s="68">
        <v>5021492</v>
      </c>
      <c r="C56" s="68">
        <v>42432</v>
      </c>
      <c r="D56" s="29">
        <f aca="true" t="shared" si="12" ref="D56:D61">B56+C56</f>
        <v>5063924</v>
      </c>
      <c r="E56" s="44">
        <v>17934</v>
      </c>
      <c r="F56" s="30">
        <f aca="true" t="shared" si="13" ref="F56:F61">D56+E56</f>
        <v>5081858</v>
      </c>
      <c r="G56" s="44">
        <v>22357</v>
      </c>
    </row>
    <row r="57" spans="1:7" ht="12.75">
      <c r="A57" s="95">
        <v>41455</v>
      </c>
      <c r="B57" s="68">
        <v>5038688</v>
      </c>
      <c r="C57" s="68">
        <v>39277</v>
      </c>
      <c r="D57" s="29">
        <f t="shared" si="12"/>
        <v>5077965</v>
      </c>
      <c r="E57" s="44">
        <v>15927</v>
      </c>
      <c r="F57" s="30">
        <f t="shared" si="13"/>
        <v>5093892</v>
      </c>
      <c r="G57" s="44">
        <v>22576</v>
      </c>
    </row>
    <row r="58" spans="1:7" ht="12.75">
      <c r="A58" s="95">
        <v>41547</v>
      </c>
      <c r="B58" s="68">
        <v>5054797</v>
      </c>
      <c r="C58" s="68">
        <v>38223</v>
      </c>
      <c r="D58" s="29">
        <f t="shared" si="12"/>
        <v>5093020</v>
      </c>
      <c r="E58" s="44">
        <v>18909</v>
      </c>
      <c r="F58" s="30">
        <f t="shared" si="13"/>
        <v>5111929</v>
      </c>
      <c r="G58" s="44">
        <v>22586</v>
      </c>
    </row>
    <row r="59" spans="1:7" ht="12.75">
      <c r="A59" s="95">
        <v>41639</v>
      </c>
      <c r="B59" s="68">
        <v>5068597</v>
      </c>
      <c r="C59" s="68">
        <v>40577</v>
      </c>
      <c r="D59" s="29">
        <f t="shared" si="12"/>
        <v>5109174</v>
      </c>
      <c r="E59" s="44">
        <v>20334</v>
      </c>
      <c r="F59" s="30">
        <f t="shared" si="13"/>
        <v>5129508</v>
      </c>
      <c r="G59" s="44">
        <v>22680</v>
      </c>
    </row>
    <row r="60" spans="1:7" ht="12.75">
      <c r="A60" s="95">
        <v>41729</v>
      </c>
      <c r="B60" s="68">
        <v>5087351</v>
      </c>
      <c r="C60" s="68">
        <v>38298</v>
      </c>
      <c r="D60" s="29">
        <f t="shared" si="12"/>
        <v>5125649</v>
      </c>
      <c r="E60" s="44">
        <v>17521</v>
      </c>
      <c r="F60" s="30">
        <f t="shared" si="13"/>
        <v>5143170</v>
      </c>
      <c r="G60" s="44">
        <v>22668</v>
      </c>
    </row>
    <row r="61" spans="1:7" ht="12.75">
      <c r="A61" s="95">
        <v>41820</v>
      </c>
      <c r="B61" s="68">
        <v>5104083</v>
      </c>
      <c r="C61" s="68">
        <v>36606</v>
      </c>
      <c r="D61" s="29">
        <f t="shared" si="12"/>
        <v>5140689</v>
      </c>
      <c r="E61" s="44">
        <v>15010</v>
      </c>
      <c r="F61" s="30">
        <f t="shared" si="13"/>
        <v>5155699</v>
      </c>
      <c r="G61" s="44">
        <v>22856</v>
      </c>
    </row>
    <row r="62" spans="1:7" ht="12.75">
      <c r="A62" s="95">
        <v>41912</v>
      </c>
      <c r="B62" s="68">
        <v>5114896</v>
      </c>
      <c r="C62" s="68">
        <v>40088</v>
      </c>
      <c r="D62" s="29">
        <f aca="true" t="shared" si="14" ref="D62:D67">B62+C62</f>
        <v>5154984</v>
      </c>
      <c r="E62" s="44">
        <v>16560</v>
      </c>
      <c r="F62" s="30">
        <f aca="true" t="shared" si="15" ref="F62:F67">D62+E62</f>
        <v>5171544</v>
      </c>
      <c r="G62" s="44">
        <v>23031</v>
      </c>
    </row>
    <row r="63" spans="1:7" ht="12.75">
      <c r="A63" s="95">
        <v>42004</v>
      </c>
      <c r="B63" s="68">
        <v>5127819</v>
      </c>
      <c r="C63" s="68">
        <v>41315</v>
      </c>
      <c r="D63" s="29">
        <f t="shared" si="14"/>
        <v>5169134</v>
      </c>
      <c r="E63" s="44">
        <v>23298</v>
      </c>
      <c r="F63" s="30">
        <f t="shared" si="15"/>
        <v>5192432</v>
      </c>
      <c r="G63" s="44">
        <v>23105</v>
      </c>
    </row>
    <row r="64" spans="1:7" ht="12.75">
      <c r="A64" s="95">
        <v>42094</v>
      </c>
      <c r="B64" s="68">
        <v>5143308</v>
      </c>
      <c r="C64" s="68">
        <v>38993</v>
      </c>
      <c r="D64" s="29">
        <f t="shared" si="14"/>
        <v>5182301</v>
      </c>
      <c r="E64" s="44">
        <v>17335</v>
      </c>
      <c r="F64" s="30">
        <f t="shared" si="15"/>
        <v>5199636</v>
      </c>
      <c r="G64" s="44">
        <v>23225</v>
      </c>
    </row>
    <row r="65" spans="1:7" ht="12.75">
      <c r="A65" s="95">
        <v>42185</v>
      </c>
      <c r="B65" s="68">
        <v>5160821</v>
      </c>
      <c r="C65" s="68">
        <v>32971</v>
      </c>
      <c r="D65" s="29">
        <f t="shared" si="14"/>
        <v>5193792</v>
      </c>
      <c r="E65" s="44">
        <v>15504</v>
      </c>
      <c r="F65" s="30">
        <f t="shared" si="15"/>
        <v>5209296</v>
      </c>
      <c r="G65" s="44">
        <v>23263</v>
      </c>
    </row>
    <row r="66" spans="1:7" ht="12.75">
      <c r="A66" s="95">
        <v>42277</v>
      </c>
      <c r="B66" s="68">
        <v>5173877</v>
      </c>
      <c r="C66" s="68">
        <v>31610</v>
      </c>
      <c r="D66" s="29">
        <f t="shared" si="14"/>
        <v>5205487</v>
      </c>
      <c r="E66" s="44">
        <v>18328</v>
      </c>
      <c r="F66" s="30">
        <f t="shared" si="15"/>
        <v>5223815</v>
      </c>
      <c r="G66" s="44">
        <v>23326</v>
      </c>
    </row>
    <row r="67" spans="1:7" ht="12.75">
      <c r="A67" s="95">
        <v>42369</v>
      </c>
      <c r="B67" s="68">
        <v>5188787</v>
      </c>
      <c r="C67" s="68">
        <v>30985</v>
      </c>
      <c r="D67" s="29">
        <f t="shared" si="14"/>
        <v>5219772</v>
      </c>
      <c r="E67" s="44">
        <v>19737</v>
      </c>
      <c r="F67" s="30">
        <f t="shared" si="15"/>
        <v>5239509</v>
      </c>
      <c r="G67" s="44">
        <v>23526</v>
      </c>
    </row>
    <row r="68" spans="1:7" ht="12.75">
      <c r="A68" s="95">
        <v>42460</v>
      </c>
      <c r="B68" s="68">
        <v>5201995</v>
      </c>
      <c r="C68" s="68">
        <v>33993</v>
      </c>
      <c r="D68" s="29">
        <f aca="true" t="shared" si="16" ref="D68:D73">B68+C68</f>
        <v>5235988</v>
      </c>
      <c r="E68" s="44">
        <v>15700</v>
      </c>
      <c r="F68" s="30">
        <f aca="true" t="shared" si="17" ref="F68:F73">D68+E68</f>
        <v>5251688</v>
      </c>
      <c r="G68" s="44">
        <v>23409</v>
      </c>
    </row>
    <row r="69" spans="1:10" ht="12.75">
      <c r="A69" s="95">
        <v>42551</v>
      </c>
      <c r="B69" s="68">
        <v>5218667</v>
      </c>
      <c r="C69" s="68">
        <v>25699</v>
      </c>
      <c r="D69" s="29">
        <f t="shared" si="16"/>
        <v>5244366</v>
      </c>
      <c r="E69" s="261">
        <v>107421</v>
      </c>
      <c r="F69" s="261">
        <f t="shared" si="17"/>
        <v>5351787</v>
      </c>
      <c r="G69" s="44">
        <v>23279</v>
      </c>
      <c r="I69" s="261"/>
      <c r="J69" t="s">
        <v>445</v>
      </c>
    </row>
    <row r="70" spans="1:7" ht="12.75">
      <c r="A70" s="95">
        <v>42643</v>
      </c>
      <c r="B70" s="68">
        <v>5220983</v>
      </c>
      <c r="C70" s="68">
        <v>38562</v>
      </c>
      <c r="D70" s="29">
        <f t="shared" si="16"/>
        <v>5259545</v>
      </c>
      <c r="E70" s="261">
        <v>87568</v>
      </c>
      <c r="F70" s="261">
        <f t="shared" si="17"/>
        <v>5347113</v>
      </c>
      <c r="G70" s="44">
        <v>23207</v>
      </c>
    </row>
    <row r="71" spans="1:7" ht="12.75">
      <c r="A71" s="95">
        <v>42735</v>
      </c>
      <c r="B71" s="68">
        <v>5225835</v>
      </c>
      <c r="C71" s="68">
        <v>45115</v>
      </c>
      <c r="D71" s="29">
        <f t="shared" si="16"/>
        <v>5270950</v>
      </c>
      <c r="E71" s="261">
        <v>67621</v>
      </c>
      <c r="F71" s="261">
        <f t="shared" si="17"/>
        <v>5338571</v>
      </c>
      <c r="G71" s="44">
        <v>23153</v>
      </c>
    </row>
    <row r="72" spans="1:7" ht="12.75">
      <c r="A72" s="95">
        <v>42825</v>
      </c>
      <c r="B72" s="68">
        <v>5227936</v>
      </c>
      <c r="C72" s="68">
        <v>46350</v>
      </c>
      <c r="D72" s="29">
        <f t="shared" si="16"/>
        <v>5274286</v>
      </c>
      <c r="E72" s="261">
        <v>1031720</v>
      </c>
      <c r="F72" s="261">
        <f t="shared" si="17"/>
        <v>6306006</v>
      </c>
      <c r="G72" s="44">
        <v>23646</v>
      </c>
    </row>
    <row r="73" spans="1:7" ht="12.75">
      <c r="A73" s="95">
        <v>42916</v>
      </c>
      <c r="B73" s="68">
        <v>5241810</v>
      </c>
      <c r="C73" s="68">
        <v>45272</v>
      </c>
      <c r="D73" s="29">
        <f t="shared" si="16"/>
        <v>5287082</v>
      </c>
      <c r="E73" s="261">
        <v>1060528</v>
      </c>
      <c r="F73" s="261">
        <f t="shared" si="17"/>
        <v>6347610</v>
      </c>
      <c r="G73" s="44">
        <v>37633</v>
      </c>
    </row>
    <row r="74" spans="1:8" ht="12.75">
      <c r="A74" s="95">
        <v>43100</v>
      </c>
      <c r="B74" s="68">
        <v>5260068</v>
      </c>
      <c r="C74" s="68">
        <v>36189</v>
      </c>
      <c r="D74" s="29">
        <f>B74+C74</f>
        <v>5296257</v>
      </c>
      <c r="E74" s="44">
        <v>0</v>
      </c>
      <c r="F74" s="30">
        <f>D74+E74</f>
        <v>5296257</v>
      </c>
      <c r="G74" s="44">
        <v>37325</v>
      </c>
      <c r="H74" t="s">
        <v>447</v>
      </c>
    </row>
    <row r="75" spans="1:8" ht="12.75">
      <c r="A75" s="95">
        <v>43190</v>
      </c>
      <c r="B75" s="68">
        <v>5258009</v>
      </c>
      <c r="C75" s="68">
        <v>45342</v>
      </c>
      <c r="D75" s="29">
        <f>B75+C75</f>
        <v>5303351</v>
      </c>
      <c r="E75" s="44">
        <v>0</v>
      </c>
      <c r="F75" s="30">
        <f>D75+E75</f>
        <v>5303351</v>
      </c>
      <c r="G75" s="44">
        <v>12864</v>
      </c>
      <c r="H75" t="s">
        <v>447</v>
      </c>
    </row>
    <row r="76" spans="1:8" ht="12.75">
      <c r="A76" s="95">
        <v>43281</v>
      </c>
      <c r="B76" s="68">
        <v>5254652</v>
      </c>
      <c r="C76" s="68">
        <v>56854</v>
      </c>
      <c r="D76" s="29">
        <f>B76+C76</f>
        <v>5311506</v>
      </c>
      <c r="E76" s="44">
        <v>0</v>
      </c>
      <c r="F76" s="30">
        <f>D76+E76</f>
        <v>5311506</v>
      </c>
      <c r="G76" s="44">
        <v>12762</v>
      </c>
      <c r="H76" t="s">
        <v>447</v>
      </c>
    </row>
    <row r="77" spans="1:8" ht="12.75">
      <c r="A77" s="95">
        <v>43373</v>
      </c>
      <c r="B77" s="68">
        <v>5265392</v>
      </c>
      <c r="C77" s="68">
        <v>56542</v>
      </c>
      <c r="D77" s="29">
        <f>B77+C77</f>
        <v>5321934</v>
      </c>
      <c r="E77" s="44">
        <v>0</v>
      </c>
      <c r="F77" s="30">
        <f>D77+E77</f>
        <v>5321934</v>
      </c>
      <c r="G77" s="44">
        <v>12660</v>
      </c>
      <c r="H77" t="s">
        <v>448</v>
      </c>
    </row>
    <row r="78" spans="1:7" ht="12.75">
      <c r="A78" s="95">
        <v>43465</v>
      </c>
      <c r="B78" s="68">
        <v>5279617</v>
      </c>
      <c r="C78" s="68">
        <v>54051</v>
      </c>
      <c r="D78" s="29">
        <f>B78+C78</f>
        <v>5333668</v>
      </c>
      <c r="E78" s="44">
        <v>1</v>
      </c>
      <c r="F78" s="30">
        <f>D78+E78</f>
        <v>5333669</v>
      </c>
      <c r="G78" s="44">
        <v>12520</v>
      </c>
    </row>
    <row r="79" ht="12.75">
      <c r="A79" s="35" t="s">
        <v>67</v>
      </c>
    </row>
    <row r="84" spans="1:4" ht="12.75">
      <c r="A84" s="26"/>
      <c r="B84" s="26"/>
      <c r="C84" s="26"/>
      <c r="D84" s="26"/>
    </row>
    <row r="85" spans="1:4" ht="12.75">
      <c r="A85" s="26"/>
      <c r="B85" s="26"/>
      <c r="C85" s="26"/>
      <c r="D85" s="26"/>
    </row>
    <row r="86" spans="1:4" ht="12.75">
      <c r="A86" s="26"/>
      <c r="B86" s="26"/>
      <c r="C86" s="26"/>
      <c r="D86" s="26"/>
    </row>
    <row r="87" spans="1:4" ht="12.75">
      <c r="A87" s="26"/>
      <c r="B87" s="26"/>
      <c r="C87" s="26"/>
      <c r="D87" s="26"/>
    </row>
  </sheetData>
  <sheetProtection/>
  <printOptions/>
  <pageMargins left="0.75" right="0.75" top="1" bottom="1" header="0.5" footer="0.5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K14" sqref="K14"/>
    </sheetView>
  </sheetViews>
  <sheetFormatPr defaultColWidth="11.421875" defaultRowHeight="12.75"/>
  <cols>
    <col min="1" max="1" width="13.28125" style="0" customWidth="1"/>
    <col min="2" max="2" width="14.00390625" style="111" customWidth="1"/>
    <col min="3" max="3" width="13.28125" style="111" customWidth="1"/>
    <col min="4" max="5" width="9.7109375" style="0" customWidth="1"/>
    <col min="7" max="7" width="11.8515625" style="0" customWidth="1"/>
  </cols>
  <sheetData>
    <row r="1" ht="12.75">
      <c r="A1" s="27" t="s">
        <v>287</v>
      </c>
    </row>
    <row r="2" ht="12.75">
      <c r="A2" s="27"/>
    </row>
    <row r="3" ht="12.75">
      <c r="A3" s="27"/>
    </row>
    <row r="4" ht="12.75">
      <c r="A4" s="27"/>
    </row>
    <row r="5" ht="12.75">
      <c r="A5" s="27"/>
    </row>
    <row r="6" ht="12.75">
      <c r="A6" s="27"/>
    </row>
    <row r="7" ht="12.75">
      <c r="A7" s="27"/>
    </row>
    <row r="8" ht="12.75">
      <c r="A8" s="27"/>
    </row>
    <row r="9" ht="12.75">
      <c r="A9" s="27"/>
    </row>
    <row r="10" ht="12.75">
      <c r="A10" s="27"/>
    </row>
    <row r="11" ht="12.75">
      <c r="A11" s="27"/>
    </row>
    <row r="12" ht="12.75">
      <c r="A12" s="27"/>
    </row>
    <row r="13" ht="12.75">
      <c r="A13" s="27"/>
    </row>
    <row r="14" ht="12.75">
      <c r="A14" s="27"/>
    </row>
    <row r="15" ht="12.75">
      <c r="A15" s="27"/>
    </row>
    <row r="16" ht="12.75">
      <c r="A16" s="27"/>
    </row>
    <row r="17" ht="12.75">
      <c r="A17" s="27"/>
    </row>
    <row r="18" ht="12.75">
      <c r="A18" s="27"/>
    </row>
    <row r="19" ht="12.75">
      <c r="A19" s="33"/>
    </row>
    <row r="20" spans="1:16" ht="12.75">
      <c r="A20" s="33"/>
      <c r="B20" s="112"/>
      <c r="C20" s="112" t="s">
        <v>222</v>
      </c>
      <c r="E20" s="274" t="s">
        <v>214</v>
      </c>
      <c r="F20" s="274"/>
      <c r="G20" s="274"/>
      <c r="H20" s="274"/>
      <c r="I20" s="274"/>
      <c r="J20" s="274"/>
      <c r="K20" s="13"/>
      <c r="L20" s="274" t="s">
        <v>158</v>
      </c>
      <c r="M20" s="274"/>
      <c r="N20" s="274"/>
      <c r="O20" s="274"/>
      <c r="P20" s="274"/>
    </row>
    <row r="21" spans="1:18" ht="12.75">
      <c r="A21" s="100"/>
      <c r="B21" s="113" t="s">
        <v>288</v>
      </c>
      <c r="C21" s="113" t="s">
        <v>281</v>
      </c>
      <c r="E21" s="12" t="s">
        <v>159</v>
      </c>
      <c r="F21" s="12" t="s">
        <v>87</v>
      </c>
      <c r="G21" s="12" t="s">
        <v>89</v>
      </c>
      <c r="H21" s="12" t="s">
        <v>90</v>
      </c>
      <c r="I21" s="12" t="s">
        <v>91</v>
      </c>
      <c r="J21" s="12" t="s">
        <v>160</v>
      </c>
      <c r="K21" s="12" t="s">
        <v>373</v>
      </c>
      <c r="L21" s="12" t="s">
        <v>159</v>
      </c>
      <c r="M21" s="12" t="s">
        <v>87</v>
      </c>
      <c r="N21" s="12" t="s">
        <v>89</v>
      </c>
      <c r="O21" s="12" t="s">
        <v>90</v>
      </c>
      <c r="P21" s="12" t="s">
        <v>91</v>
      </c>
      <c r="Q21" s="12" t="s">
        <v>160</v>
      </c>
      <c r="R21" s="12" t="s">
        <v>373</v>
      </c>
    </row>
    <row r="22" spans="1:17" ht="12.75">
      <c r="A22" s="38" t="s">
        <v>147</v>
      </c>
      <c r="B22" s="114">
        <f aca="true" t="shared" si="0" ref="B22:B27">(F22+G22)*100/E22</f>
        <v>70</v>
      </c>
      <c r="C22" s="114">
        <f aca="true" t="shared" si="1" ref="C22:C27">(M22+N22)*100/L22</f>
        <v>51.282051282051285</v>
      </c>
      <c r="E22" s="41">
        <v>90</v>
      </c>
      <c r="F22" s="41">
        <v>15</v>
      </c>
      <c r="G22" s="41">
        <v>48</v>
      </c>
      <c r="H22" s="41">
        <v>21</v>
      </c>
      <c r="I22" s="41">
        <v>5</v>
      </c>
      <c r="J22">
        <f aca="true" t="shared" si="2" ref="J22:J27">E22-F22-G22-H22-I22</f>
        <v>1</v>
      </c>
      <c r="L22" s="41">
        <v>39</v>
      </c>
      <c r="M22" s="41">
        <v>4</v>
      </c>
      <c r="N22" s="41">
        <v>16</v>
      </c>
      <c r="O22" s="41">
        <v>17</v>
      </c>
      <c r="P22" s="41">
        <v>2</v>
      </c>
      <c r="Q22">
        <f aca="true" t="shared" si="3" ref="Q22:Q27">L22-M22-N22-O22-P22</f>
        <v>0</v>
      </c>
    </row>
    <row r="23" spans="1:17" ht="12.75">
      <c r="A23" s="38" t="s">
        <v>148</v>
      </c>
      <c r="B23" s="114">
        <f t="shared" si="0"/>
        <v>55.172413793103445</v>
      </c>
      <c r="C23" s="114">
        <f t="shared" si="1"/>
        <v>37.142857142857146</v>
      </c>
      <c r="E23" s="41">
        <v>58</v>
      </c>
      <c r="F23" s="41">
        <v>7</v>
      </c>
      <c r="G23" s="41">
        <v>25</v>
      </c>
      <c r="H23" s="41">
        <v>22</v>
      </c>
      <c r="I23" s="41">
        <v>4</v>
      </c>
      <c r="J23">
        <f t="shared" si="2"/>
        <v>0</v>
      </c>
      <c r="L23" s="41">
        <v>35</v>
      </c>
      <c r="M23" s="41">
        <v>3</v>
      </c>
      <c r="N23" s="41">
        <v>10</v>
      </c>
      <c r="O23" s="41">
        <v>16</v>
      </c>
      <c r="P23" s="41">
        <v>6</v>
      </c>
      <c r="Q23">
        <f t="shared" si="3"/>
        <v>0</v>
      </c>
    </row>
    <row r="24" spans="1:17" s="16" customFormat="1" ht="12.75">
      <c r="A24" s="38" t="s">
        <v>152</v>
      </c>
      <c r="B24" s="114">
        <f t="shared" si="0"/>
        <v>76.36363636363636</v>
      </c>
      <c r="C24" s="114">
        <f t="shared" si="1"/>
        <v>42.10526315789474</v>
      </c>
      <c r="E24" s="110">
        <v>55</v>
      </c>
      <c r="F24" s="110">
        <v>3</v>
      </c>
      <c r="G24" s="110">
        <v>39</v>
      </c>
      <c r="H24" s="110">
        <v>10</v>
      </c>
      <c r="I24" s="110">
        <v>3</v>
      </c>
      <c r="J24">
        <f t="shared" si="2"/>
        <v>0</v>
      </c>
      <c r="K24"/>
      <c r="L24" s="110">
        <v>57</v>
      </c>
      <c r="M24" s="110">
        <v>3</v>
      </c>
      <c r="N24" s="110">
        <v>21</v>
      </c>
      <c r="O24" s="110">
        <v>24</v>
      </c>
      <c r="P24" s="110">
        <v>8</v>
      </c>
      <c r="Q24">
        <f t="shared" si="3"/>
        <v>1</v>
      </c>
    </row>
    <row r="25" spans="1:17" ht="12.75">
      <c r="A25" s="38" t="s">
        <v>216</v>
      </c>
      <c r="B25" s="114">
        <f t="shared" si="0"/>
        <v>61.53846153846154</v>
      </c>
      <c r="C25" s="114">
        <f t="shared" si="1"/>
        <v>38.70967741935484</v>
      </c>
      <c r="E25" s="41">
        <v>65</v>
      </c>
      <c r="F25" s="41">
        <v>8</v>
      </c>
      <c r="G25" s="41">
        <v>32</v>
      </c>
      <c r="H25" s="41">
        <v>21</v>
      </c>
      <c r="I25" s="41">
        <v>4</v>
      </c>
      <c r="J25">
        <f t="shared" si="2"/>
        <v>0</v>
      </c>
      <c r="L25" s="41">
        <v>62</v>
      </c>
      <c r="M25" s="41">
        <v>1</v>
      </c>
      <c r="N25" s="41">
        <v>23</v>
      </c>
      <c r="O25" s="41">
        <v>27</v>
      </c>
      <c r="P25" s="41">
        <v>10</v>
      </c>
      <c r="Q25">
        <f t="shared" si="3"/>
        <v>1</v>
      </c>
    </row>
    <row r="26" spans="1:17" ht="12.75">
      <c r="A26" s="38" t="s">
        <v>257</v>
      </c>
      <c r="B26" s="114">
        <f t="shared" si="0"/>
        <v>64.28571428571429</v>
      </c>
      <c r="C26" s="114">
        <f t="shared" si="1"/>
        <v>47.45762711864407</v>
      </c>
      <c r="E26" s="41">
        <v>70</v>
      </c>
      <c r="F26" s="41">
        <v>9</v>
      </c>
      <c r="G26" s="41">
        <v>36</v>
      </c>
      <c r="H26" s="41">
        <v>22</v>
      </c>
      <c r="I26" s="41">
        <v>3</v>
      </c>
      <c r="J26">
        <f t="shared" si="2"/>
        <v>0</v>
      </c>
      <c r="L26" s="41">
        <v>59</v>
      </c>
      <c r="M26" s="41">
        <v>2</v>
      </c>
      <c r="N26" s="41">
        <v>26</v>
      </c>
      <c r="O26" s="41">
        <v>19</v>
      </c>
      <c r="P26" s="41">
        <v>8</v>
      </c>
      <c r="Q26">
        <f t="shared" si="3"/>
        <v>4</v>
      </c>
    </row>
    <row r="27" spans="1:17" ht="12.75">
      <c r="A27" s="38" t="s">
        <v>266</v>
      </c>
      <c r="B27" s="114">
        <f t="shared" si="0"/>
        <v>68.1159420289855</v>
      </c>
      <c r="C27" s="114">
        <f t="shared" si="1"/>
        <v>34.21052631578947</v>
      </c>
      <c r="E27" s="41">
        <v>69</v>
      </c>
      <c r="F27" s="41">
        <v>3</v>
      </c>
      <c r="G27" s="41">
        <v>44</v>
      </c>
      <c r="H27" s="41">
        <v>18</v>
      </c>
      <c r="I27" s="41">
        <v>4</v>
      </c>
      <c r="J27">
        <f t="shared" si="2"/>
        <v>0</v>
      </c>
      <c r="L27" s="41">
        <v>76</v>
      </c>
      <c r="M27" s="41">
        <v>4</v>
      </c>
      <c r="N27" s="41">
        <v>22</v>
      </c>
      <c r="O27" s="41">
        <v>21</v>
      </c>
      <c r="P27" s="41">
        <v>24</v>
      </c>
      <c r="Q27">
        <f t="shared" si="3"/>
        <v>5</v>
      </c>
    </row>
    <row r="28" spans="1:17" ht="12.75">
      <c r="A28" s="38" t="s">
        <v>352</v>
      </c>
      <c r="B28" s="111">
        <f aca="true" t="shared" si="4" ref="B28:B34">(F28+G28)*100/E28</f>
        <v>73.2394366197183</v>
      </c>
      <c r="C28" s="111">
        <f aca="true" t="shared" si="5" ref="C28:C34">(M28+N28)*100/L28</f>
        <v>44.927536231884055</v>
      </c>
      <c r="E28" s="55">
        <f>SUM(F28:J28)</f>
        <v>71</v>
      </c>
      <c r="F28" s="41">
        <f>1+2</f>
        <v>3</v>
      </c>
      <c r="G28" s="41">
        <f>19+30</f>
        <v>49</v>
      </c>
      <c r="H28" s="41">
        <f>6+8</f>
        <v>14</v>
      </c>
      <c r="I28" s="41">
        <f>1+4</f>
        <v>5</v>
      </c>
      <c r="J28" s="41">
        <f>0</f>
        <v>0</v>
      </c>
      <c r="K28" s="41"/>
      <c r="L28" s="55">
        <f>SUM(M28:Q28)</f>
        <v>69</v>
      </c>
      <c r="M28" s="41">
        <f>1+1</f>
        <v>2</v>
      </c>
      <c r="N28" s="41">
        <f>10+19</f>
        <v>29</v>
      </c>
      <c r="O28" s="41">
        <f>9+12</f>
        <v>21</v>
      </c>
      <c r="P28" s="41">
        <f>1+8</f>
        <v>9</v>
      </c>
      <c r="Q28" s="41">
        <f>1+7</f>
        <v>8</v>
      </c>
    </row>
    <row r="29" spans="1:17" ht="12.75">
      <c r="A29" s="38" t="s">
        <v>356</v>
      </c>
      <c r="B29" s="111">
        <f t="shared" si="4"/>
        <v>72.05882352941177</v>
      </c>
      <c r="C29" s="111">
        <f t="shared" si="5"/>
        <v>33.333333333333336</v>
      </c>
      <c r="E29" s="55">
        <f>SUM(F29:J29)</f>
        <v>68</v>
      </c>
      <c r="F29" s="41">
        <f>4+1</f>
        <v>5</v>
      </c>
      <c r="G29" s="41">
        <f>21+23</f>
        <v>44</v>
      </c>
      <c r="H29" s="41">
        <f>6+6</f>
        <v>12</v>
      </c>
      <c r="I29" s="41">
        <f>1+6</f>
        <v>7</v>
      </c>
      <c r="J29" s="41">
        <v>0</v>
      </c>
      <c r="K29" s="41"/>
      <c r="L29" s="55">
        <f>SUM(M29:Q29)</f>
        <v>54</v>
      </c>
      <c r="M29" s="41">
        <f>1+1</f>
        <v>2</v>
      </c>
      <c r="N29" s="41">
        <f>6+10</f>
        <v>16</v>
      </c>
      <c r="O29" s="41">
        <f>4+9</f>
        <v>13</v>
      </c>
      <c r="P29" s="41">
        <f>1+12</f>
        <v>13</v>
      </c>
      <c r="Q29" s="41">
        <f>1+9</f>
        <v>10</v>
      </c>
    </row>
    <row r="30" spans="1:17" ht="12.75">
      <c r="A30" s="38" t="s">
        <v>362</v>
      </c>
      <c r="B30" s="111">
        <f t="shared" si="4"/>
        <v>81.91489361702128</v>
      </c>
      <c r="C30" s="111">
        <f t="shared" si="5"/>
        <v>29.11392405063291</v>
      </c>
      <c r="E30" s="55">
        <f>SUM(F30:J30)</f>
        <v>94</v>
      </c>
      <c r="F30" s="41">
        <f>8+9</f>
        <v>17</v>
      </c>
      <c r="G30" s="41">
        <f>28+32</f>
        <v>60</v>
      </c>
      <c r="H30" s="41">
        <f>8+8</f>
        <v>16</v>
      </c>
      <c r="I30" s="41">
        <f>0+1</f>
        <v>1</v>
      </c>
      <c r="J30" s="41">
        <f aca="true" t="shared" si="6" ref="J30:J36">0+0</f>
        <v>0</v>
      </c>
      <c r="K30" s="41"/>
      <c r="L30" s="55">
        <f>SUM(M30:Q30)</f>
        <v>79</v>
      </c>
      <c r="M30" s="41">
        <f>0</f>
        <v>0</v>
      </c>
      <c r="N30" s="41">
        <f>6+17</f>
        <v>23</v>
      </c>
      <c r="O30" s="41">
        <f>11+12</f>
        <v>23</v>
      </c>
      <c r="P30" s="41">
        <f>2+19</f>
        <v>21</v>
      </c>
      <c r="Q30" s="41">
        <f>4+8</f>
        <v>12</v>
      </c>
    </row>
    <row r="31" spans="1:17" ht="12.75">
      <c r="A31" s="38" t="s">
        <v>371</v>
      </c>
      <c r="B31" s="111">
        <f t="shared" si="4"/>
        <v>81.60919540229885</v>
      </c>
      <c r="C31" s="111">
        <f t="shared" si="5"/>
        <v>25.37313432835821</v>
      </c>
      <c r="E31" s="55">
        <f>SUM(F31:J31)</f>
        <v>87</v>
      </c>
      <c r="F31" s="41">
        <f>7+11</f>
        <v>18</v>
      </c>
      <c r="G31" s="41">
        <f>33+20</f>
        <v>53</v>
      </c>
      <c r="H31" s="41">
        <f>5+8</f>
        <v>13</v>
      </c>
      <c r="I31" s="41">
        <f>3</f>
        <v>3</v>
      </c>
      <c r="J31" s="41">
        <f t="shared" si="6"/>
        <v>0</v>
      </c>
      <c r="K31" s="41"/>
      <c r="L31" s="55">
        <f>SUM(M31:Q31)</f>
        <v>67</v>
      </c>
      <c r="M31" s="41">
        <f>1</f>
        <v>1</v>
      </c>
      <c r="N31" s="41">
        <f>10+6</f>
        <v>16</v>
      </c>
      <c r="O31" s="41">
        <f>10+17</f>
        <v>27</v>
      </c>
      <c r="P31" s="41">
        <f>3+17</f>
        <v>20</v>
      </c>
      <c r="Q31" s="41">
        <f>3</f>
        <v>3</v>
      </c>
    </row>
    <row r="32" spans="1:18" ht="12.75">
      <c r="A32" s="38" t="s">
        <v>376</v>
      </c>
      <c r="B32" s="111">
        <f t="shared" si="4"/>
        <v>72.41379310344827</v>
      </c>
      <c r="C32" s="111">
        <f t="shared" si="5"/>
        <v>28.8135593220339</v>
      </c>
      <c r="E32" s="55">
        <f>SUM(F32:K32)</f>
        <v>87</v>
      </c>
      <c r="F32" s="41">
        <f>9+6</f>
        <v>15</v>
      </c>
      <c r="G32" s="41">
        <f>27+21</f>
        <v>48</v>
      </c>
      <c r="H32" s="41">
        <f>13+9</f>
        <v>22</v>
      </c>
      <c r="I32" s="41">
        <f>2</f>
        <v>2</v>
      </c>
      <c r="J32" s="41">
        <f t="shared" si="6"/>
        <v>0</v>
      </c>
      <c r="K32" s="41">
        <v>0</v>
      </c>
      <c r="L32" s="55">
        <f>SUM(M32:R32)</f>
        <v>59</v>
      </c>
      <c r="M32" s="41">
        <v>2</v>
      </c>
      <c r="N32" s="41">
        <v>15</v>
      </c>
      <c r="O32" s="41">
        <v>18</v>
      </c>
      <c r="P32" s="41">
        <v>14</v>
      </c>
      <c r="Q32" s="41">
        <v>10</v>
      </c>
      <c r="R32" s="172">
        <v>0</v>
      </c>
    </row>
    <row r="33" spans="1:18" ht="12.75">
      <c r="A33" s="38" t="s">
        <v>377</v>
      </c>
      <c r="B33" s="111">
        <f t="shared" si="4"/>
        <v>70.32967032967034</v>
      </c>
      <c r="C33" s="111">
        <f t="shared" si="5"/>
        <v>30.555555555555557</v>
      </c>
      <c r="E33" s="55">
        <f>SUM(F33:K33)</f>
        <v>91</v>
      </c>
      <c r="F33" s="41">
        <f>3+10</f>
        <v>13</v>
      </c>
      <c r="G33" s="41">
        <f>27+24</f>
        <v>51</v>
      </c>
      <c r="H33" s="41">
        <f>8+13</f>
        <v>21</v>
      </c>
      <c r="I33" s="41">
        <f>1+5</f>
        <v>6</v>
      </c>
      <c r="J33" s="41">
        <f t="shared" si="6"/>
        <v>0</v>
      </c>
      <c r="K33" s="41">
        <v>0</v>
      </c>
      <c r="L33" s="55">
        <f>SUM(M33:R33)</f>
        <v>72</v>
      </c>
      <c r="M33" s="41">
        <f>3+0</f>
        <v>3</v>
      </c>
      <c r="N33" s="41">
        <f>9+10</f>
        <v>19</v>
      </c>
      <c r="O33" s="41">
        <f>17+10</f>
        <v>27</v>
      </c>
      <c r="P33" s="41">
        <f>3+11</f>
        <v>14</v>
      </c>
      <c r="Q33" s="41">
        <f>1+8</f>
        <v>9</v>
      </c>
      <c r="R33" s="172">
        <v>0</v>
      </c>
    </row>
    <row r="34" spans="1:18" ht="12.75">
      <c r="A34" s="38" t="s">
        <v>378</v>
      </c>
      <c r="B34" s="111">
        <f t="shared" si="4"/>
        <v>76.19047619047619</v>
      </c>
      <c r="C34" s="111">
        <f t="shared" si="5"/>
        <v>31.25</v>
      </c>
      <c r="E34" s="55">
        <f>SUM(F34:K34)</f>
        <v>84</v>
      </c>
      <c r="F34" s="41">
        <f>4+6</f>
        <v>10</v>
      </c>
      <c r="G34" s="41">
        <f>26+28</f>
        <v>54</v>
      </c>
      <c r="H34" s="41">
        <f>5+10</f>
        <v>15</v>
      </c>
      <c r="I34" s="41">
        <f>2+3</f>
        <v>5</v>
      </c>
      <c r="J34" s="41">
        <f t="shared" si="6"/>
        <v>0</v>
      </c>
      <c r="K34" s="41">
        <v>0</v>
      </c>
      <c r="L34" s="55">
        <f>SUM(M34:R34)</f>
        <v>48</v>
      </c>
      <c r="M34" s="41">
        <f>0+2</f>
        <v>2</v>
      </c>
      <c r="N34" s="41">
        <f>6+7</f>
        <v>13</v>
      </c>
      <c r="O34" s="41">
        <f>4+8</f>
        <v>12</v>
      </c>
      <c r="P34" s="41">
        <f>4+8</f>
        <v>12</v>
      </c>
      <c r="Q34" s="41">
        <f>1+8</f>
        <v>9</v>
      </c>
      <c r="R34" s="172">
        <v>0</v>
      </c>
    </row>
    <row r="35" spans="1:18" ht="12.75">
      <c r="A35" s="38" t="s">
        <v>379</v>
      </c>
      <c r="B35" s="111">
        <f aca="true" t="shared" si="7" ref="B35:B40">(F35+G35)*100/E35</f>
        <v>79</v>
      </c>
      <c r="C35" s="111">
        <f aca="true" t="shared" si="8" ref="C35:C40">(M35+N35)*100/L35</f>
        <v>32.38095238095238</v>
      </c>
      <c r="E35" s="55">
        <f aca="true" t="shared" si="9" ref="E35:E40">SUM(F35:K35)</f>
        <v>100</v>
      </c>
      <c r="F35" s="41">
        <f>7+9</f>
        <v>16</v>
      </c>
      <c r="G35" s="41">
        <f>39+24</f>
        <v>63</v>
      </c>
      <c r="H35" s="41">
        <f>8+10</f>
        <v>18</v>
      </c>
      <c r="I35" s="41">
        <f>1+2</f>
        <v>3</v>
      </c>
      <c r="J35" s="41">
        <f t="shared" si="6"/>
        <v>0</v>
      </c>
      <c r="K35" s="41">
        <v>0</v>
      </c>
      <c r="L35" s="55">
        <f aca="true" t="shared" si="10" ref="L35:L40">SUM(M35:R35)</f>
        <v>105</v>
      </c>
      <c r="M35" s="41">
        <f>1+0</f>
        <v>1</v>
      </c>
      <c r="N35" s="41">
        <f>16+17</f>
        <v>33</v>
      </c>
      <c r="O35" s="41">
        <f>12+18</f>
        <v>30</v>
      </c>
      <c r="P35" s="41">
        <f>4+12</f>
        <v>16</v>
      </c>
      <c r="Q35" s="41">
        <f>5+20</f>
        <v>25</v>
      </c>
      <c r="R35" s="172">
        <v>0</v>
      </c>
    </row>
    <row r="36" spans="1:18" ht="12.75">
      <c r="A36" s="38" t="s">
        <v>380</v>
      </c>
      <c r="B36" s="111">
        <f t="shared" si="7"/>
        <v>73.49397590361446</v>
      </c>
      <c r="C36" s="111">
        <f t="shared" si="8"/>
        <v>42.666666666666664</v>
      </c>
      <c r="E36" s="55">
        <f t="shared" si="9"/>
        <v>83</v>
      </c>
      <c r="F36" s="41">
        <f>6+9</f>
        <v>15</v>
      </c>
      <c r="G36" s="41">
        <f>30+16</f>
        <v>46</v>
      </c>
      <c r="H36" s="41">
        <f>7+8</f>
        <v>15</v>
      </c>
      <c r="I36" s="41">
        <f>1+6</f>
        <v>7</v>
      </c>
      <c r="J36" s="41">
        <f t="shared" si="6"/>
        <v>0</v>
      </c>
      <c r="K36" s="41">
        <v>0</v>
      </c>
      <c r="L36" s="55">
        <f t="shared" si="10"/>
        <v>75</v>
      </c>
      <c r="M36" s="41">
        <f>0+0</f>
        <v>0</v>
      </c>
      <c r="N36" s="41">
        <f>10+22</f>
        <v>32</v>
      </c>
      <c r="O36" s="41">
        <f>8+12</f>
        <v>20</v>
      </c>
      <c r="P36" s="41">
        <f>3+8</f>
        <v>11</v>
      </c>
      <c r="Q36" s="41">
        <f>0+12</f>
        <v>12</v>
      </c>
      <c r="R36" s="172">
        <v>0</v>
      </c>
    </row>
    <row r="37" spans="1:18" ht="12.75">
      <c r="A37" s="38" t="s">
        <v>381</v>
      </c>
      <c r="B37" s="111">
        <f t="shared" si="7"/>
        <v>66.34615384615384</v>
      </c>
      <c r="C37" s="111">
        <f t="shared" si="8"/>
        <v>30.555555555555557</v>
      </c>
      <c r="E37" s="55">
        <f t="shared" si="9"/>
        <v>104</v>
      </c>
      <c r="F37" s="41">
        <f>5+4</f>
        <v>9</v>
      </c>
      <c r="G37" s="41">
        <f>28+32</f>
        <v>60</v>
      </c>
      <c r="H37" s="41">
        <f>10+20</f>
        <v>30</v>
      </c>
      <c r="I37" s="41">
        <f>0+2</f>
        <v>2</v>
      </c>
      <c r="J37" s="41">
        <f>1+2</f>
        <v>3</v>
      </c>
      <c r="K37" s="41">
        <v>0</v>
      </c>
      <c r="L37" s="55">
        <f t="shared" si="10"/>
        <v>72</v>
      </c>
      <c r="M37" s="41">
        <f>0+1</f>
        <v>1</v>
      </c>
      <c r="N37" s="41">
        <f>10+11</f>
        <v>21</v>
      </c>
      <c r="O37" s="41">
        <f>9+15</f>
        <v>24</v>
      </c>
      <c r="P37" s="41">
        <f>3+6</f>
        <v>9</v>
      </c>
      <c r="Q37" s="41">
        <f>7+10</f>
        <v>17</v>
      </c>
      <c r="R37" s="172">
        <v>0</v>
      </c>
    </row>
    <row r="38" spans="1:18" ht="12.75">
      <c r="A38" s="38" t="s">
        <v>382</v>
      </c>
      <c r="B38" s="111">
        <f t="shared" si="7"/>
        <v>76.04166666666667</v>
      </c>
      <c r="C38" s="111">
        <f t="shared" si="8"/>
        <v>19.672131147540984</v>
      </c>
      <c r="E38" s="55">
        <f t="shared" si="9"/>
        <v>96</v>
      </c>
      <c r="F38" s="41">
        <v>11</v>
      </c>
      <c r="G38" s="41">
        <v>62</v>
      </c>
      <c r="H38" s="41">
        <v>19</v>
      </c>
      <c r="I38" s="41">
        <v>4</v>
      </c>
      <c r="J38" s="41">
        <v>0</v>
      </c>
      <c r="K38" s="41">
        <v>0</v>
      </c>
      <c r="L38" s="55">
        <f t="shared" si="10"/>
        <v>61</v>
      </c>
      <c r="M38" s="41">
        <v>0</v>
      </c>
      <c r="N38" s="41">
        <v>12</v>
      </c>
      <c r="O38" s="41">
        <v>17</v>
      </c>
      <c r="P38" s="41">
        <v>14</v>
      </c>
      <c r="Q38" s="41">
        <v>18</v>
      </c>
      <c r="R38" s="172">
        <v>0</v>
      </c>
    </row>
    <row r="39" spans="1:18" ht="12.75">
      <c r="A39" s="38" t="s">
        <v>395</v>
      </c>
      <c r="B39" s="111">
        <f t="shared" si="7"/>
        <v>72.1311475409836</v>
      </c>
      <c r="C39" s="111">
        <f t="shared" si="8"/>
        <v>23.91304347826087</v>
      </c>
      <c r="E39" s="55">
        <f t="shared" si="9"/>
        <v>122</v>
      </c>
      <c r="F39" s="41">
        <v>15</v>
      </c>
      <c r="G39" s="41">
        <v>73</v>
      </c>
      <c r="H39" s="41">
        <v>26</v>
      </c>
      <c r="I39" s="41">
        <v>7</v>
      </c>
      <c r="J39" s="41">
        <v>1</v>
      </c>
      <c r="K39" s="41">
        <v>0</v>
      </c>
      <c r="L39" s="55">
        <f t="shared" si="10"/>
        <v>92</v>
      </c>
      <c r="M39" s="41">
        <v>2</v>
      </c>
      <c r="N39" s="41">
        <v>20</v>
      </c>
      <c r="O39" s="41">
        <v>28</v>
      </c>
      <c r="P39" s="41">
        <v>25</v>
      </c>
      <c r="Q39" s="41">
        <v>17</v>
      </c>
      <c r="R39" s="172">
        <v>0</v>
      </c>
    </row>
    <row r="40" spans="1:18" ht="12.75">
      <c r="A40" s="38" t="s">
        <v>400</v>
      </c>
      <c r="B40" s="111">
        <f t="shared" si="7"/>
        <v>70.23809523809524</v>
      </c>
      <c r="C40" s="111">
        <f t="shared" si="8"/>
        <v>37.5</v>
      </c>
      <c r="E40" s="55">
        <f t="shared" si="9"/>
        <v>84</v>
      </c>
      <c r="F40" s="41">
        <v>18</v>
      </c>
      <c r="G40" s="41">
        <v>41</v>
      </c>
      <c r="H40" s="41">
        <v>19</v>
      </c>
      <c r="I40" s="41">
        <v>6</v>
      </c>
      <c r="J40" s="41">
        <v>0</v>
      </c>
      <c r="K40" s="41">
        <v>0</v>
      </c>
      <c r="L40" s="55">
        <f t="shared" si="10"/>
        <v>96</v>
      </c>
      <c r="M40" s="41">
        <v>0</v>
      </c>
      <c r="N40" s="41">
        <v>36</v>
      </c>
      <c r="O40" s="41">
        <v>28</v>
      </c>
      <c r="P40" s="41">
        <v>17</v>
      </c>
      <c r="Q40" s="41">
        <v>15</v>
      </c>
      <c r="R40" s="172">
        <v>0</v>
      </c>
    </row>
    <row r="41" spans="1:18" ht="12.75">
      <c r="A41" s="38" t="s">
        <v>425</v>
      </c>
      <c r="B41" s="111">
        <f aca="true" t="shared" si="11" ref="B41:B46">(F41+G41)*100/E41</f>
        <v>67.27272727272727</v>
      </c>
      <c r="C41" s="111">
        <f aca="true" t="shared" si="12" ref="C41:C46">(M41+N41)*100/L41</f>
        <v>32.58426966292135</v>
      </c>
      <c r="E41" s="55">
        <f aca="true" t="shared" si="13" ref="E41:E46">SUM(F41:K41)</f>
        <v>110</v>
      </c>
      <c r="F41" s="41">
        <f>3+6</f>
        <v>9</v>
      </c>
      <c r="G41" s="41">
        <f>36+29</f>
        <v>65</v>
      </c>
      <c r="H41" s="41">
        <f>11+20</f>
        <v>31</v>
      </c>
      <c r="I41" s="41">
        <v>5</v>
      </c>
      <c r="J41" s="41">
        <v>0</v>
      </c>
      <c r="K41" s="41">
        <v>0</v>
      </c>
      <c r="L41" s="55">
        <f aca="true" t="shared" si="14" ref="L41:L46">SUM(M41:R41)</f>
        <v>89</v>
      </c>
      <c r="M41" s="41">
        <v>2</v>
      </c>
      <c r="N41" s="41">
        <v>27</v>
      </c>
      <c r="O41" s="41">
        <v>26</v>
      </c>
      <c r="P41" s="41">
        <v>21</v>
      </c>
      <c r="Q41" s="41">
        <v>13</v>
      </c>
      <c r="R41" s="172">
        <v>0</v>
      </c>
    </row>
    <row r="42" spans="1:18" ht="12.75">
      <c r="A42" s="38" t="s">
        <v>427</v>
      </c>
      <c r="B42" s="111">
        <f t="shared" si="11"/>
        <v>75.92592592592592</v>
      </c>
      <c r="C42" s="111">
        <f t="shared" si="12"/>
        <v>32.608695652173914</v>
      </c>
      <c r="E42" s="55">
        <f t="shared" si="13"/>
        <v>108</v>
      </c>
      <c r="F42" s="41">
        <f>11+7</f>
        <v>18</v>
      </c>
      <c r="G42" s="41">
        <f>33+31</f>
        <v>64</v>
      </c>
      <c r="H42" s="41">
        <f>10+15</f>
        <v>25</v>
      </c>
      <c r="I42" s="41">
        <v>1</v>
      </c>
      <c r="J42" s="41">
        <v>0</v>
      </c>
      <c r="K42" s="41">
        <v>0</v>
      </c>
      <c r="L42" s="55">
        <f t="shared" si="14"/>
        <v>92</v>
      </c>
      <c r="M42" s="41">
        <v>2</v>
      </c>
      <c r="N42" s="41">
        <v>28</v>
      </c>
      <c r="O42" s="41">
        <v>28</v>
      </c>
      <c r="P42" s="41">
        <v>10</v>
      </c>
      <c r="Q42" s="41">
        <v>23</v>
      </c>
      <c r="R42" s="172">
        <v>1</v>
      </c>
    </row>
    <row r="43" spans="1:18" ht="12.75">
      <c r="A43" s="38" t="s">
        <v>431</v>
      </c>
      <c r="B43" s="111">
        <f t="shared" si="11"/>
        <v>77.8688524590164</v>
      </c>
      <c r="C43" s="111">
        <f t="shared" si="12"/>
        <v>34.523809523809526</v>
      </c>
      <c r="E43" s="55">
        <f t="shared" si="13"/>
        <v>122</v>
      </c>
      <c r="F43" s="41">
        <f>14+5</f>
        <v>19</v>
      </c>
      <c r="G43" s="41">
        <f>34+42</f>
        <v>76</v>
      </c>
      <c r="H43" s="41">
        <f>15+9</f>
        <v>24</v>
      </c>
      <c r="I43" s="41">
        <v>3</v>
      </c>
      <c r="J43" s="41">
        <v>0</v>
      </c>
      <c r="K43" s="41">
        <v>0</v>
      </c>
      <c r="L43" s="55">
        <f t="shared" si="14"/>
        <v>84</v>
      </c>
      <c r="M43" s="41">
        <v>1</v>
      </c>
      <c r="N43" s="41">
        <f>17+11</f>
        <v>28</v>
      </c>
      <c r="O43" s="41">
        <f>10+9</f>
        <v>19</v>
      </c>
      <c r="P43" s="41">
        <f>6+7</f>
        <v>13</v>
      </c>
      <c r="Q43" s="41">
        <f>3+20</f>
        <v>23</v>
      </c>
      <c r="R43" s="172">
        <v>0</v>
      </c>
    </row>
    <row r="44" spans="1:18" ht="12.75">
      <c r="A44" s="38" t="s">
        <v>446</v>
      </c>
      <c r="B44" s="111">
        <f t="shared" si="11"/>
        <v>67.36842105263158</v>
      </c>
      <c r="C44" s="111">
        <f t="shared" si="12"/>
        <v>39.473684210526315</v>
      </c>
      <c r="E44" s="55">
        <f t="shared" si="13"/>
        <v>95</v>
      </c>
      <c r="F44" s="41">
        <f>9+5</f>
        <v>14</v>
      </c>
      <c r="G44" s="41">
        <f>22+28</f>
        <v>50</v>
      </c>
      <c r="H44" s="41">
        <f>13+12</f>
        <v>25</v>
      </c>
      <c r="I44" s="41">
        <v>5</v>
      </c>
      <c r="J44" s="41">
        <v>1</v>
      </c>
      <c r="K44" s="41">
        <v>0</v>
      </c>
      <c r="L44" s="55">
        <f t="shared" si="14"/>
        <v>76</v>
      </c>
      <c r="M44" s="41">
        <f>2+1</f>
        <v>3</v>
      </c>
      <c r="N44" s="41">
        <f>11+16</f>
        <v>27</v>
      </c>
      <c r="O44" s="41">
        <f>12+9</f>
        <v>21</v>
      </c>
      <c r="P44" s="41">
        <f>4+8</f>
        <v>12</v>
      </c>
      <c r="Q44" s="41">
        <f>3+9</f>
        <v>12</v>
      </c>
      <c r="R44" s="172">
        <v>1</v>
      </c>
    </row>
    <row r="45" spans="1:18" ht="12.75">
      <c r="A45" s="38" t="s">
        <v>449</v>
      </c>
      <c r="B45" s="111">
        <f t="shared" si="11"/>
        <v>70.67669172932331</v>
      </c>
      <c r="C45" s="111">
        <f t="shared" si="12"/>
        <v>33.6283185840708</v>
      </c>
      <c r="E45" s="55">
        <f t="shared" si="13"/>
        <v>133</v>
      </c>
      <c r="F45" s="41">
        <f>12+5</f>
        <v>17</v>
      </c>
      <c r="G45" s="41">
        <f>39+38</f>
        <v>77</v>
      </c>
      <c r="H45" s="41">
        <f>14+17</f>
        <v>31</v>
      </c>
      <c r="I45" s="41">
        <v>7</v>
      </c>
      <c r="J45" s="41">
        <v>1</v>
      </c>
      <c r="K45" s="41">
        <v>0</v>
      </c>
      <c r="L45" s="55">
        <f t="shared" si="14"/>
        <v>113</v>
      </c>
      <c r="M45" s="41">
        <v>1</v>
      </c>
      <c r="N45" s="41">
        <f>18+19</f>
        <v>37</v>
      </c>
      <c r="O45" s="41">
        <f>15+17</f>
        <v>32</v>
      </c>
      <c r="P45" s="41">
        <f>7+15</f>
        <v>22</v>
      </c>
      <c r="Q45" s="41">
        <f>3+16</f>
        <v>19</v>
      </c>
      <c r="R45" s="172">
        <v>2</v>
      </c>
    </row>
    <row r="46" spans="1:18" ht="12.75">
      <c r="A46" s="38" t="s">
        <v>451</v>
      </c>
      <c r="B46" s="111">
        <f t="shared" si="11"/>
        <v>74.22680412371135</v>
      </c>
      <c r="C46" s="111">
        <f t="shared" si="12"/>
        <v>35.05154639175258</v>
      </c>
      <c r="E46" s="55">
        <f t="shared" si="13"/>
        <v>97</v>
      </c>
      <c r="F46" s="41">
        <f>5+6</f>
        <v>11</v>
      </c>
      <c r="G46" s="41">
        <f>35+26</f>
        <v>61</v>
      </c>
      <c r="H46" s="41">
        <f>11+13</f>
        <v>24</v>
      </c>
      <c r="I46" s="41">
        <v>1</v>
      </c>
      <c r="J46" s="41">
        <v>0</v>
      </c>
      <c r="K46" s="41">
        <v>0</v>
      </c>
      <c r="L46" s="55">
        <f t="shared" si="14"/>
        <v>97</v>
      </c>
      <c r="M46" s="41">
        <v>3</v>
      </c>
      <c r="N46" s="41">
        <f>19+12</f>
        <v>31</v>
      </c>
      <c r="O46" s="41">
        <f>16+10</f>
        <v>26</v>
      </c>
      <c r="P46" s="41">
        <f>3+12</f>
        <v>15</v>
      </c>
      <c r="Q46" s="41">
        <f>2+19</f>
        <v>21</v>
      </c>
      <c r="R46" s="172">
        <v>1</v>
      </c>
    </row>
    <row r="47" spans="1:18" ht="12.75">
      <c r="A47" s="38" t="s">
        <v>457</v>
      </c>
      <c r="B47" s="111">
        <f>(F47+G47)*100/E47</f>
        <v>70.1863354037267</v>
      </c>
      <c r="C47" s="111">
        <f>(M47+N47)*100/L47</f>
        <v>39.39393939393939</v>
      </c>
      <c r="E47" s="55">
        <f>SUM(F47:K47)</f>
        <v>161</v>
      </c>
      <c r="F47" s="41">
        <f>11+11</f>
        <v>22</v>
      </c>
      <c r="G47" s="41">
        <f>52+39</f>
        <v>91</v>
      </c>
      <c r="H47" s="41">
        <f>24+19</f>
        <v>43</v>
      </c>
      <c r="I47" s="41">
        <v>5</v>
      </c>
      <c r="J47" s="41">
        <v>0</v>
      </c>
      <c r="K47" s="41">
        <v>0</v>
      </c>
      <c r="L47" s="55">
        <f>SUM(M47:R47)</f>
        <v>132</v>
      </c>
      <c r="M47" s="41">
        <v>5</v>
      </c>
      <c r="N47" s="41">
        <f>19+28</f>
        <v>47</v>
      </c>
      <c r="O47" s="41">
        <f>17+18</f>
        <v>35</v>
      </c>
      <c r="P47" s="41">
        <f>8+13</f>
        <v>21</v>
      </c>
      <c r="Q47" s="41">
        <f>4+20</f>
        <v>24</v>
      </c>
      <c r="R47" s="172">
        <v>0</v>
      </c>
    </row>
    <row r="48" spans="1:18" ht="12.75">
      <c r="A48" s="38" t="s">
        <v>460</v>
      </c>
      <c r="B48" s="111">
        <f>(F48+G48)*100/E48</f>
        <v>75.53191489361703</v>
      </c>
      <c r="C48" s="111">
        <f>(M48+N48)*100/L48</f>
        <v>41.37931034482759</v>
      </c>
      <c r="E48" s="55">
        <f>SUM(F48:K48)</f>
        <v>94</v>
      </c>
      <c r="F48" s="41">
        <f>7+8</f>
        <v>15</v>
      </c>
      <c r="G48" s="41">
        <f>25+31</f>
        <v>56</v>
      </c>
      <c r="H48" s="41">
        <f>12+9</f>
        <v>21</v>
      </c>
      <c r="I48" s="41">
        <v>1</v>
      </c>
      <c r="J48" s="41">
        <v>1</v>
      </c>
      <c r="K48" s="41">
        <v>0</v>
      </c>
      <c r="L48" s="55">
        <f>SUM(M48:R48)</f>
        <v>87</v>
      </c>
      <c r="M48" s="41">
        <v>3</v>
      </c>
      <c r="N48" s="41">
        <f>14+19</f>
        <v>33</v>
      </c>
      <c r="O48" s="41">
        <f>7+11</f>
        <v>18</v>
      </c>
      <c r="P48" s="41">
        <f>4+11</f>
        <v>15</v>
      </c>
      <c r="Q48" s="41">
        <f>2+15</f>
        <v>17</v>
      </c>
      <c r="R48" s="172">
        <v>1</v>
      </c>
    </row>
  </sheetData>
  <sheetProtection/>
  <mergeCells count="2">
    <mergeCell ref="L20:P20"/>
    <mergeCell ref="E20:J2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pane ySplit="7" topLeftCell="A44" activePane="bottomLeft" state="frozen"/>
      <selection pane="topLeft" activeCell="A1" sqref="A1"/>
      <selection pane="bottomLeft" activeCell="A77" sqref="A77:F77"/>
    </sheetView>
  </sheetViews>
  <sheetFormatPr defaultColWidth="11.421875" defaultRowHeight="12.75"/>
  <cols>
    <col min="1" max="1" width="13.28125" style="0" customWidth="1"/>
    <col min="2" max="4" width="13.00390625" style="0" customWidth="1"/>
    <col min="5" max="5" width="12.421875" style="0" customWidth="1"/>
    <col min="6" max="6" width="13.00390625" style="0" customWidth="1"/>
    <col min="7" max="9" width="9.7109375" style="0" customWidth="1"/>
  </cols>
  <sheetData>
    <row r="1" ht="12.75">
      <c r="A1" s="27" t="s">
        <v>141</v>
      </c>
    </row>
    <row r="2" ht="12.75">
      <c r="A2" s="27"/>
    </row>
    <row r="3" spans="1:6" ht="12.75">
      <c r="A3" s="33"/>
      <c r="D3" s="13" t="s">
        <v>24</v>
      </c>
      <c r="E3" s="13" t="s">
        <v>24</v>
      </c>
      <c r="F3" s="13" t="s">
        <v>24</v>
      </c>
    </row>
    <row r="4" spans="1:6" ht="12.75">
      <c r="A4" s="33"/>
      <c r="D4" s="13" t="s">
        <v>60</v>
      </c>
      <c r="E4" s="13" t="s">
        <v>60</v>
      </c>
      <c r="F4" s="13" t="s">
        <v>60</v>
      </c>
    </row>
    <row r="5" spans="1:6" ht="12.75">
      <c r="A5" s="33"/>
      <c r="B5" s="13"/>
      <c r="C5" s="13" t="s">
        <v>24</v>
      </c>
      <c r="D5" s="13" t="s">
        <v>254</v>
      </c>
      <c r="E5" s="13" t="s">
        <v>254</v>
      </c>
      <c r="F5" s="13" t="s">
        <v>253</v>
      </c>
    </row>
    <row r="6" spans="1:6" ht="12.75">
      <c r="A6" s="33"/>
      <c r="B6" s="13" t="s">
        <v>143</v>
      </c>
      <c r="C6" s="13" t="s">
        <v>142</v>
      </c>
      <c r="D6" s="13" t="s">
        <v>255</v>
      </c>
      <c r="E6" s="13" t="s">
        <v>144</v>
      </c>
      <c r="F6" s="13" t="s">
        <v>145</v>
      </c>
    </row>
    <row r="7" spans="1:6" ht="12.75">
      <c r="A7" s="100"/>
      <c r="B7" s="12" t="s">
        <v>96</v>
      </c>
      <c r="C7" s="101" t="s">
        <v>96</v>
      </c>
      <c r="D7" s="12" t="s">
        <v>72</v>
      </c>
      <c r="E7" s="101" t="s">
        <v>72</v>
      </c>
      <c r="F7" s="101" t="s">
        <v>146</v>
      </c>
    </row>
    <row r="8" spans="1:6" ht="12.75">
      <c r="A8" s="38" t="s">
        <v>147</v>
      </c>
      <c r="B8" s="40">
        <v>90</v>
      </c>
      <c r="C8" s="40">
        <v>39</v>
      </c>
      <c r="D8" s="40">
        <v>2108</v>
      </c>
      <c r="E8" s="40">
        <v>1274</v>
      </c>
      <c r="F8" s="40">
        <v>337</v>
      </c>
    </row>
    <row r="9" spans="1:6" ht="12.75">
      <c r="A9" s="38" t="s">
        <v>148</v>
      </c>
      <c r="B9" s="40">
        <v>58</v>
      </c>
      <c r="C9" s="40">
        <v>35</v>
      </c>
      <c r="D9" s="40">
        <v>1433</v>
      </c>
      <c r="E9" s="68">
        <v>472</v>
      </c>
      <c r="F9" s="40">
        <v>62</v>
      </c>
    </row>
    <row r="10" spans="1:6" ht="12.75">
      <c r="A10" s="38" t="s">
        <v>149</v>
      </c>
      <c r="B10" s="40">
        <v>88</v>
      </c>
      <c r="C10" s="40">
        <v>60</v>
      </c>
      <c r="D10" s="40">
        <v>1003</v>
      </c>
      <c r="E10" s="40">
        <v>533</v>
      </c>
      <c r="F10" s="40">
        <v>25</v>
      </c>
    </row>
    <row r="11" spans="1:6" ht="12.75">
      <c r="A11" s="38" t="s">
        <v>150</v>
      </c>
      <c r="B11" s="68">
        <v>41</v>
      </c>
      <c r="C11" s="68">
        <v>43</v>
      </c>
      <c r="D11" s="68">
        <v>796</v>
      </c>
      <c r="E11" s="44">
        <v>452</v>
      </c>
      <c r="F11" s="44">
        <v>48</v>
      </c>
    </row>
    <row r="12" spans="1:6" ht="12.75">
      <c r="A12" s="38" t="s">
        <v>151</v>
      </c>
      <c r="B12" s="68">
        <v>78</v>
      </c>
      <c r="C12" s="68">
        <v>67</v>
      </c>
      <c r="D12" s="68">
        <v>613</v>
      </c>
      <c r="E12" s="44">
        <v>893</v>
      </c>
      <c r="F12" s="44">
        <v>40</v>
      </c>
    </row>
    <row r="13" spans="1:6" s="16" customFormat="1" ht="12.75">
      <c r="A13" s="38" t="s">
        <v>152</v>
      </c>
      <c r="B13" s="68">
        <v>55</v>
      </c>
      <c r="C13" s="68">
        <v>57</v>
      </c>
      <c r="D13" s="68">
        <v>791</v>
      </c>
      <c r="E13" s="44">
        <v>1352</v>
      </c>
      <c r="F13" s="44">
        <v>40</v>
      </c>
    </row>
    <row r="14" spans="1:6" s="16" customFormat="1" ht="12.75">
      <c r="A14" s="38" t="s">
        <v>153</v>
      </c>
      <c r="B14" s="68">
        <v>68</v>
      </c>
      <c r="C14" s="68">
        <v>64</v>
      </c>
      <c r="D14" s="68">
        <v>618</v>
      </c>
      <c r="E14" s="44">
        <v>1210</v>
      </c>
      <c r="F14" s="44">
        <v>61</v>
      </c>
    </row>
    <row r="15" spans="1:6" ht="12.75">
      <c r="A15" s="38" t="s">
        <v>154</v>
      </c>
      <c r="B15" s="68">
        <v>52</v>
      </c>
      <c r="C15" s="68">
        <v>58</v>
      </c>
      <c r="D15" s="68">
        <v>581</v>
      </c>
      <c r="E15" s="44">
        <v>937</v>
      </c>
      <c r="F15" s="44">
        <v>770</v>
      </c>
    </row>
    <row r="16" spans="1:6" ht="12.75">
      <c r="A16" s="38" t="s">
        <v>213</v>
      </c>
      <c r="B16" s="68">
        <v>70</v>
      </c>
      <c r="C16" s="68">
        <v>62</v>
      </c>
      <c r="D16" s="68">
        <v>507</v>
      </c>
      <c r="E16" s="44">
        <v>1090</v>
      </c>
      <c r="F16" s="44">
        <v>26</v>
      </c>
    </row>
    <row r="17" spans="1:6" ht="12.75">
      <c r="A17" s="38" t="s">
        <v>216</v>
      </c>
      <c r="B17" s="68">
        <v>65</v>
      </c>
      <c r="C17" s="68">
        <v>62</v>
      </c>
      <c r="D17" s="68">
        <v>742</v>
      </c>
      <c r="E17" s="44">
        <v>1213</v>
      </c>
      <c r="F17" s="44">
        <v>55</v>
      </c>
    </row>
    <row r="18" spans="1:6" ht="12.75">
      <c r="A18" s="38" t="s">
        <v>242</v>
      </c>
      <c r="B18" s="68">
        <v>58</v>
      </c>
      <c r="C18" s="68">
        <v>48</v>
      </c>
      <c r="D18" s="68">
        <v>580</v>
      </c>
      <c r="E18" s="44">
        <v>1190</v>
      </c>
      <c r="F18" s="44">
        <v>40</v>
      </c>
    </row>
    <row r="19" spans="1:6" ht="12.75">
      <c r="A19" s="38" t="s">
        <v>249</v>
      </c>
      <c r="B19" s="68">
        <v>67</v>
      </c>
      <c r="C19" s="68">
        <v>55</v>
      </c>
      <c r="D19" s="68">
        <v>607</v>
      </c>
      <c r="E19" s="44">
        <v>1340</v>
      </c>
      <c r="F19" s="44">
        <v>44</v>
      </c>
    </row>
    <row r="20" spans="1:6" ht="12.75">
      <c r="A20" s="38" t="s">
        <v>251</v>
      </c>
      <c r="B20" s="68">
        <v>67</v>
      </c>
      <c r="C20" s="68">
        <v>59</v>
      </c>
      <c r="D20" s="68">
        <v>517</v>
      </c>
      <c r="E20" s="44">
        <v>1173</v>
      </c>
      <c r="F20" s="44">
        <v>30</v>
      </c>
    </row>
    <row r="21" spans="1:6" ht="12.75">
      <c r="A21" s="38" t="s">
        <v>257</v>
      </c>
      <c r="B21" s="68">
        <v>70</v>
      </c>
      <c r="C21" s="68">
        <v>59</v>
      </c>
      <c r="D21" s="68">
        <v>646</v>
      </c>
      <c r="E21" s="44">
        <v>1008</v>
      </c>
      <c r="F21" s="44">
        <v>55</v>
      </c>
    </row>
    <row r="22" spans="1:6" ht="12.75">
      <c r="A22" s="38" t="s">
        <v>260</v>
      </c>
      <c r="B22" s="68">
        <v>60</v>
      </c>
      <c r="C22" s="68">
        <v>53</v>
      </c>
      <c r="D22" s="68">
        <v>543</v>
      </c>
      <c r="E22" s="44">
        <v>714</v>
      </c>
      <c r="F22" s="44">
        <v>74</v>
      </c>
    </row>
    <row r="23" spans="1:6" ht="12.75">
      <c r="A23" s="38" t="s">
        <v>262</v>
      </c>
      <c r="B23" s="68">
        <v>56</v>
      </c>
      <c r="C23" s="68">
        <v>48</v>
      </c>
      <c r="D23" s="68">
        <v>541</v>
      </c>
      <c r="E23" s="44">
        <v>819</v>
      </c>
      <c r="F23" s="44">
        <v>40</v>
      </c>
    </row>
    <row r="24" spans="1:6" ht="12.75">
      <c r="A24" s="38" t="s">
        <v>264</v>
      </c>
      <c r="B24" s="68">
        <v>65</v>
      </c>
      <c r="C24" s="68">
        <v>69</v>
      </c>
      <c r="D24" s="68">
        <v>493</v>
      </c>
      <c r="E24" s="44">
        <v>1026</v>
      </c>
      <c r="F24" s="44">
        <v>31</v>
      </c>
    </row>
    <row r="25" spans="1:6" ht="12.75">
      <c r="A25" s="38" t="s">
        <v>266</v>
      </c>
      <c r="B25" s="68">
        <v>69</v>
      </c>
      <c r="C25" s="68">
        <v>76</v>
      </c>
      <c r="D25" s="68">
        <v>931</v>
      </c>
      <c r="E25" s="44">
        <v>908</v>
      </c>
      <c r="F25" s="44">
        <v>44</v>
      </c>
    </row>
    <row r="26" spans="1:6" ht="12.75">
      <c r="A26" s="38" t="s">
        <v>289</v>
      </c>
      <c r="B26" s="68">
        <v>88</v>
      </c>
      <c r="C26" s="68">
        <v>55</v>
      </c>
      <c r="D26" s="68">
        <v>934</v>
      </c>
      <c r="E26" s="44">
        <v>866</v>
      </c>
      <c r="F26" s="44">
        <v>45</v>
      </c>
    </row>
    <row r="27" spans="1:6" ht="12.75">
      <c r="A27" s="38" t="s">
        <v>293</v>
      </c>
      <c r="B27" s="68">
        <v>58</v>
      </c>
      <c r="C27" s="68">
        <v>44</v>
      </c>
      <c r="D27" s="68">
        <v>812</v>
      </c>
      <c r="E27" s="44">
        <v>768</v>
      </c>
      <c r="F27" s="44">
        <v>33</v>
      </c>
    </row>
    <row r="28" spans="1:6" ht="12.75">
      <c r="A28" s="38" t="s">
        <v>299</v>
      </c>
      <c r="B28" s="68">
        <v>68</v>
      </c>
      <c r="C28" s="68">
        <v>51</v>
      </c>
      <c r="D28" s="68">
        <v>709</v>
      </c>
      <c r="E28" s="44">
        <v>763</v>
      </c>
      <c r="F28" s="44">
        <v>42</v>
      </c>
    </row>
    <row r="29" spans="1:6" ht="12.75">
      <c r="A29" s="38" t="s">
        <v>301</v>
      </c>
      <c r="B29" s="68">
        <v>60</v>
      </c>
      <c r="C29" s="68">
        <v>46</v>
      </c>
      <c r="D29" s="68">
        <v>1009</v>
      </c>
      <c r="E29" s="44">
        <v>1090</v>
      </c>
      <c r="F29" s="44">
        <v>31</v>
      </c>
    </row>
    <row r="30" spans="1:6" ht="12.75">
      <c r="A30" s="38" t="s">
        <v>304</v>
      </c>
      <c r="B30" s="68">
        <v>71</v>
      </c>
      <c r="C30" s="68">
        <v>65</v>
      </c>
      <c r="D30" s="68">
        <v>952</v>
      </c>
      <c r="E30" s="44">
        <v>1038</v>
      </c>
      <c r="F30" s="44">
        <v>51</v>
      </c>
    </row>
    <row r="31" spans="1:6" ht="12.75">
      <c r="A31" s="38" t="s">
        <v>308</v>
      </c>
      <c r="B31" s="68">
        <v>48</v>
      </c>
      <c r="C31" s="68">
        <v>35</v>
      </c>
      <c r="D31" s="68">
        <v>900</v>
      </c>
      <c r="E31" s="44">
        <v>702</v>
      </c>
      <c r="F31" s="44">
        <v>28</v>
      </c>
    </row>
    <row r="32" spans="1:6" ht="12.75">
      <c r="A32" s="38" t="s">
        <v>309</v>
      </c>
      <c r="B32" s="68">
        <v>66</v>
      </c>
      <c r="C32" s="68">
        <v>57</v>
      </c>
      <c r="D32" s="68">
        <v>730</v>
      </c>
      <c r="E32" s="44">
        <v>837</v>
      </c>
      <c r="F32" s="44">
        <v>30</v>
      </c>
    </row>
    <row r="33" spans="1:6" ht="12.75">
      <c r="A33" s="38" t="s">
        <v>310</v>
      </c>
      <c r="B33" s="68">
        <v>96</v>
      </c>
      <c r="C33" s="68">
        <v>76</v>
      </c>
      <c r="D33" s="68">
        <v>1047</v>
      </c>
      <c r="E33" s="44">
        <v>803</v>
      </c>
      <c r="F33" s="44">
        <v>25</v>
      </c>
    </row>
    <row r="34" spans="1:6" ht="12.75">
      <c r="A34" s="38" t="s">
        <v>332</v>
      </c>
      <c r="B34" s="68">
        <v>81</v>
      </c>
      <c r="C34" s="68">
        <v>53</v>
      </c>
      <c r="D34" s="68">
        <v>966</v>
      </c>
      <c r="E34" s="44">
        <v>741</v>
      </c>
      <c r="F34" s="44">
        <v>18</v>
      </c>
    </row>
    <row r="35" spans="1:6" ht="12.75">
      <c r="A35" s="38" t="s">
        <v>334</v>
      </c>
      <c r="B35" s="68">
        <v>60</v>
      </c>
      <c r="C35" s="68">
        <v>48</v>
      </c>
      <c r="D35" s="68">
        <v>958</v>
      </c>
      <c r="E35" s="44">
        <v>756</v>
      </c>
      <c r="F35" s="44">
        <v>20</v>
      </c>
    </row>
    <row r="36" spans="1:6" ht="12.75">
      <c r="A36" s="38" t="s">
        <v>337</v>
      </c>
      <c r="B36" s="68">
        <v>67</v>
      </c>
      <c r="C36" s="68">
        <v>50</v>
      </c>
      <c r="D36" s="68">
        <v>990</v>
      </c>
      <c r="E36" s="44">
        <v>708</v>
      </c>
      <c r="F36" s="44">
        <v>29</v>
      </c>
    </row>
    <row r="37" spans="1:6" ht="12.75">
      <c r="A37" s="38" t="s">
        <v>338</v>
      </c>
      <c r="B37" s="68">
        <v>79</v>
      </c>
      <c r="C37" s="68">
        <v>62</v>
      </c>
      <c r="D37" s="68">
        <v>1440</v>
      </c>
      <c r="E37" s="44">
        <v>722</v>
      </c>
      <c r="F37" s="44">
        <v>24</v>
      </c>
    </row>
    <row r="38" spans="1:6" ht="12.75">
      <c r="A38" s="38" t="s">
        <v>339</v>
      </c>
      <c r="B38" s="68">
        <v>84</v>
      </c>
      <c r="C38" s="68">
        <v>63</v>
      </c>
      <c r="D38" s="68">
        <v>1210</v>
      </c>
      <c r="E38" s="44">
        <v>943</v>
      </c>
      <c r="F38" s="44">
        <v>36</v>
      </c>
    </row>
    <row r="39" spans="1:6" ht="12.75">
      <c r="A39" s="38" t="s">
        <v>340</v>
      </c>
      <c r="B39" s="68">
        <v>58</v>
      </c>
      <c r="C39" s="68">
        <v>35</v>
      </c>
      <c r="D39" s="68">
        <v>971</v>
      </c>
      <c r="E39" s="44">
        <v>865</v>
      </c>
      <c r="F39" s="44">
        <v>68</v>
      </c>
    </row>
    <row r="40" spans="1:6" ht="12.75">
      <c r="A40" s="38" t="s">
        <v>341</v>
      </c>
      <c r="B40" s="68">
        <v>76</v>
      </c>
      <c r="C40" s="68">
        <v>53</v>
      </c>
      <c r="D40" s="68">
        <v>931</v>
      </c>
      <c r="E40" s="44">
        <v>849</v>
      </c>
      <c r="F40" s="44">
        <v>43</v>
      </c>
    </row>
    <row r="41" spans="1:6" ht="12.75">
      <c r="A41" s="38" t="s">
        <v>344</v>
      </c>
      <c r="B41" s="68">
        <v>62</v>
      </c>
      <c r="C41" s="68">
        <v>48</v>
      </c>
      <c r="D41" s="68">
        <v>997</v>
      </c>
      <c r="E41" s="44">
        <v>730</v>
      </c>
      <c r="F41" s="44">
        <v>1228</v>
      </c>
    </row>
    <row r="42" spans="1:6" ht="12.75">
      <c r="A42" s="38" t="s">
        <v>345</v>
      </c>
      <c r="B42" s="68">
        <v>79</v>
      </c>
      <c r="C42" s="68">
        <v>57</v>
      </c>
      <c r="D42" s="68">
        <v>823</v>
      </c>
      <c r="E42" s="44">
        <v>947</v>
      </c>
      <c r="F42" s="44">
        <v>52</v>
      </c>
    </row>
    <row r="43" spans="1:6" ht="12.75">
      <c r="A43" s="38" t="s">
        <v>349</v>
      </c>
      <c r="B43" s="68">
        <v>79</v>
      </c>
      <c r="C43" s="68">
        <v>58</v>
      </c>
      <c r="D43" s="68">
        <v>744</v>
      </c>
      <c r="E43" s="44">
        <v>988</v>
      </c>
      <c r="F43" s="44">
        <v>39</v>
      </c>
    </row>
    <row r="44" spans="1:6" ht="12.75">
      <c r="A44" s="38" t="s">
        <v>351</v>
      </c>
      <c r="B44" s="68">
        <v>94</v>
      </c>
      <c r="C44" s="68">
        <v>74</v>
      </c>
      <c r="D44" s="68">
        <v>749</v>
      </c>
      <c r="E44" s="44">
        <v>1074</v>
      </c>
      <c r="F44" s="44">
        <v>60</v>
      </c>
    </row>
    <row r="45" spans="1:6" ht="12.75">
      <c r="A45" s="38" t="s">
        <v>352</v>
      </c>
      <c r="B45" s="68">
        <v>71</v>
      </c>
      <c r="C45" s="68">
        <v>69</v>
      </c>
      <c r="D45" s="68">
        <v>911</v>
      </c>
      <c r="E45" s="44">
        <v>787</v>
      </c>
      <c r="F45" s="44">
        <v>64</v>
      </c>
    </row>
    <row r="46" spans="1:6" ht="12.75">
      <c r="A46" s="38" t="s">
        <v>353</v>
      </c>
      <c r="B46" s="68">
        <v>99</v>
      </c>
      <c r="C46" s="68">
        <v>69</v>
      </c>
      <c r="D46" s="68">
        <v>934</v>
      </c>
      <c r="E46" s="44">
        <v>1090</v>
      </c>
      <c r="F46" s="44">
        <v>70</v>
      </c>
    </row>
    <row r="47" spans="1:6" ht="12.75">
      <c r="A47" s="38" t="s">
        <v>354</v>
      </c>
      <c r="B47" s="68">
        <v>88</v>
      </c>
      <c r="C47" s="68">
        <v>61</v>
      </c>
      <c r="D47" s="68">
        <v>812</v>
      </c>
      <c r="E47" s="44">
        <v>947</v>
      </c>
      <c r="F47" s="44">
        <v>26</v>
      </c>
    </row>
    <row r="48" spans="1:6" ht="12.75">
      <c r="A48" s="38" t="s">
        <v>355</v>
      </c>
      <c r="B48" s="68">
        <v>84</v>
      </c>
      <c r="C48" s="68">
        <v>72</v>
      </c>
      <c r="D48" s="68">
        <v>727</v>
      </c>
      <c r="E48" s="44">
        <v>742</v>
      </c>
      <c r="F48" s="44">
        <v>23</v>
      </c>
    </row>
    <row r="49" spans="1:6" ht="12.75">
      <c r="A49" s="38" t="s">
        <v>356</v>
      </c>
      <c r="B49" s="68">
        <v>68</v>
      </c>
      <c r="C49" s="68">
        <v>54</v>
      </c>
      <c r="D49" s="68">
        <v>837</v>
      </c>
      <c r="E49" s="44">
        <v>910</v>
      </c>
      <c r="F49" s="44">
        <v>28</v>
      </c>
    </row>
    <row r="50" spans="1:6" ht="12.75">
      <c r="A50" s="38" t="s">
        <v>357</v>
      </c>
      <c r="B50" s="68">
        <v>97</v>
      </c>
      <c r="C50" s="68">
        <v>64</v>
      </c>
      <c r="D50" s="68">
        <v>871</v>
      </c>
      <c r="E50" s="44">
        <v>1017</v>
      </c>
      <c r="F50" s="44">
        <v>18</v>
      </c>
    </row>
    <row r="51" spans="1:6" ht="12.75">
      <c r="A51" s="38" t="s">
        <v>360</v>
      </c>
      <c r="B51" s="68">
        <v>80</v>
      </c>
      <c r="C51" s="68">
        <v>58</v>
      </c>
      <c r="D51" s="68">
        <v>742</v>
      </c>
      <c r="E51" s="44">
        <v>1073</v>
      </c>
      <c r="F51" s="44">
        <v>15</v>
      </c>
    </row>
    <row r="52" spans="1:6" ht="12.75">
      <c r="A52" s="38" t="s">
        <v>361</v>
      </c>
      <c r="B52" s="68">
        <v>81</v>
      </c>
      <c r="C52" s="68">
        <v>64</v>
      </c>
      <c r="D52" s="68">
        <v>720</v>
      </c>
      <c r="E52" s="44">
        <v>1040</v>
      </c>
      <c r="F52" s="44">
        <v>24</v>
      </c>
    </row>
    <row r="53" spans="1:6" ht="12.75">
      <c r="A53" s="38" t="s">
        <v>362</v>
      </c>
      <c r="B53" s="68">
        <v>94</v>
      </c>
      <c r="C53" s="68">
        <v>79</v>
      </c>
      <c r="D53" s="68">
        <v>893</v>
      </c>
      <c r="E53" s="44">
        <v>713</v>
      </c>
      <c r="F53" s="44">
        <v>31</v>
      </c>
    </row>
    <row r="54" spans="1:6" ht="12.75">
      <c r="A54" s="38" t="s">
        <v>367</v>
      </c>
      <c r="B54" s="68">
        <v>81</v>
      </c>
      <c r="C54" s="68">
        <v>67</v>
      </c>
      <c r="D54" s="68">
        <v>971</v>
      </c>
      <c r="E54" s="44">
        <v>821</v>
      </c>
      <c r="F54" s="44">
        <v>33</v>
      </c>
    </row>
    <row r="55" spans="1:6" ht="12.75">
      <c r="A55" s="38" t="s">
        <v>368</v>
      </c>
      <c r="B55" s="68">
        <v>96</v>
      </c>
      <c r="C55" s="68">
        <v>73</v>
      </c>
      <c r="D55" s="68">
        <v>791</v>
      </c>
      <c r="E55" s="44">
        <v>938</v>
      </c>
      <c r="F55" s="44">
        <v>38</v>
      </c>
    </row>
    <row r="56" spans="1:6" ht="12.75">
      <c r="A56" s="38" t="s">
        <v>370</v>
      </c>
      <c r="B56" s="68">
        <v>155</v>
      </c>
      <c r="C56" s="68">
        <v>104</v>
      </c>
      <c r="D56" s="68">
        <v>778</v>
      </c>
      <c r="E56" s="44">
        <v>705</v>
      </c>
      <c r="F56" s="44">
        <v>32</v>
      </c>
    </row>
    <row r="57" spans="1:6" ht="12.75">
      <c r="A57" s="38" t="s">
        <v>371</v>
      </c>
      <c r="B57" s="68">
        <v>87</v>
      </c>
      <c r="C57" s="68">
        <v>67</v>
      </c>
      <c r="D57" s="68">
        <v>932</v>
      </c>
      <c r="E57" s="44">
        <v>859</v>
      </c>
      <c r="F57" s="44">
        <v>22</v>
      </c>
    </row>
    <row r="58" spans="1:6" ht="12.75">
      <c r="A58" s="38" t="s">
        <v>372</v>
      </c>
      <c r="B58" s="68">
        <v>114</v>
      </c>
      <c r="C58" s="68">
        <v>72</v>
      </c>
      <c r="D58" s="68">
        <v>871</v>
      </c>
      <c r="E58" s="44">
        <v>1069</v>
      </c>
      <c r="F58" s="44">
        <v>25</v>
      </c>
    </row>
    <row r="59" spans="1:6" ht="12.75">
      <c r="A59" s="38" t="s">
        <v>374</v>
      </c>
      <c r="B59" s="68">
        <v>102</v>
      </c>
      <c r="C59" s="68">
        <v>58</v>
      </c>
      <c r="D59" s="68">
        <v>845</v>
      </c>
      <c r="E59" s="44">
        <v>782</v>
      </c>
      <c r="F59" s="44">
        <v>16</v>
      </c>
    </row>
    <row r="60" spans="1:6" ht="12.75">
      <c r="A60" s="38" t="s">
        <v>375</v>
      </c>
      <c r="B60" s="68">
        <v>107</v>
      </c>
      <c r="C60" s="68">
        <v>87</v>
      </c>
      <c r="D60" s="68">
        <v>692</v>
      </c>
      <c r="E60" s="44">
        <v>788</v>
      </c>
      <c r="F60" s="44">
        <v>26</v>
      </c>
    </row>
    <row r="61" spans="1:6" ht="12.75">
      <c r="A61" s="38" t="s">
        <v>376</v>
      </c>
      <c r="B61" s="68">
        <v>87</v>
      </c>
      <c r="C61" s="68">
        <v>59</v>
      </c>
      <c r="D61" s="68">
        <v>909</v>
      </c>
      <c r="E61" s="44">
        <v>865</v>
      </c>
      <c r="F61" s="44">
        <v>36</v>
      </c>
    </row>
    <row r="62" spans="1:6" ht="12.75">
      <c r="A62" s="38" t="s">
        <v>377</v>
      </c>
      <c r="B62" s="68">
        <v>91</v>
      </c>
      <c r="C62" s="68">
        <v>72</v>
      </c>
      <c r="D62" s="68">
        <v>940</v>
      </c>
      <c r="E62" s="44">
        <v>1020</v>
      </c>
      <c r="F62" s="44">
        <v>30</v>
      </c>
    </row>
    <row r="63" spans="1:6" ht="12.75">
      <c r="A63" s="38" t="s">
        <v>378</v>
      </c>
      <c r="B63" s="68">
        <v>84</v>
      </c>
      <c r="C63" s="68">
        <v>48</v>
      </c>
      <c r="D63" s="68">
        <v>891</v>
      </c>
      <c r="E63" s="44">
        <v>727</v>
      </c>
      <c r="F63" s="44">
        <v>20</v>
      </c>
    </row>
    <row r="64" spans="1:6" ht="12.75">
      <c r="A64" s="38" t="s">
        <v>379</v>
      </c>
      <c r="B64" s="68">
        <v>100</v>
      </c>
      <c r="C64" s="68">
        <v>105</v>
      </c>
      <c r="D64" s="68">
        <v>807</v>
      </c>
      <c r="E64" s="44">
        <v>775</v>
      </c>
      <c r="F64" s="44">
        <v>23</v>
      </c>
    </row>
    <row r="65" spans="1:6" ht="12.75">
      <c r="A65" s="38" t="s">
        <v>380</v>
      </c>
      <c r="B65" s="68">
        <v>83</v>
      </c>
      <c r="C65" s="68">
        <v>75</v>
      </c>
      <c r="D65" s="68">
        <v>935</v>
      </c>
      <c r="E65" s="44">
        <v>1043</v>
      </c>
      <c r="F65" s="44">
        <v>29</v>
      </c>
    </row>
    <row r="66" spans="1:6" ht="12.75">
      <c r="A66" s="38" t="s">
        <v>381</v>
      </c>
      <c r="B66" s="68">
        <v>104</v>
      </c>
      <c r="C66" s="68">
        <v>72</v>
      </c>
      <c r="D66" s="68">
        <v>1056</v>
      </c>
      <c r="E66" s="44">
        <v>887</v>
      </c>
      <c r="F66" s="44">
        <v>25</v>
      </c>
    </row>
    <row r="67" spans="1:6" ht="12.75">
      <c r="A67" s="38" t="s">
        <v>382</v>
      </c>
      <c r="B67" s="68">
        <v>96</v>
      </c>
      <c r="C67" s="68">
        <v>61</v>
      </c>
      <c r="D67" s="68"/>
      <c r="E67" s="44"/>
      <c r="F67" s="44"/>
    </row>
    <row r="68" spans="1:6" ht="12.75">
      <c r="A68" s="38" t="s">
        <v>395</v>
      </c>
      <c r="B68" s="39">
        <f>'Figur 1'!E39</f>
        <v>122</v>
      </c>
      <c r="C68" s="39">
        <f>'Figur 1'!L39</f>
        <v>92</v>
      </c>
      <c r="D68" s="68"/>
      <c r="E68" s="44"/>
      <c r="F68" s="44"/>
    </row>
    <row r="69" spans="1:6" ht="12.75">
      <c r="A69" s="38" t="s">
        <v>400</v>
      </c>
      <c r="B69" s="39">
        <f>'Figur 1'!E40</f>
        <v>84</v>
      </c>
      <c r="C69" s="39">
        <f>'Figur 1'!L40</f>
        <v>96</v>
      </c>
      <c r="D69" s="105" t="s">
        <v>404</v>
      </c>
      <c r="E69" s="107" t="s">
        <v>405</v>
      </c>
      <c r="F69" s="107" t="s">
        <v>406</v>
      </c>
    </row>
    <row r="70" spans="1:6" ht="12.75">
      <c r="A70" s="38" t="s">
        <v>425</v>
      </c>
      <c r="B70" s="39">
        <f>'Figur 1'!E41</f>
        <v>110</v>
      </c>
      <c r="C70" s="39">
        <f>'Figur 1'!L41</f>
        <v>89</v>
      </c>
      <c r="D70" s="105">
        <v>5274237</v>
      </c>
      <c r="E70" s="107">
        <v>5277916</v>
      </c>
      <c r="F70" s="109">
        <f aca="true" t="shared" si="0" ref="F70:F75">E70-D70</f>
        <v>3679</v>
      </c>
    </row>
    <row r="71" spans="1:6" ht="12.75">
      <c r="A71" s="38" t="s">
        <v>427</v>
      </c>
      <c r="B71" s="39">
        <f>'Figur 1'!E42</f>
        <v>108</v>
      </c>
      <c r="C71" s="39">
        <f>'Figur 1'!L42</f>
        <v>92</v>
      </c>
      <c r="D71" s="105">
        <v>5277918</v>
      </c>
      <c r="E71" s="107">
        <v>5290392</v>
      </c>
      <c r="F71" s="109">
        <f t="shared" si="0"/>
        <v>12474</v>
      </c>
    </row>
    <row r="72" spans="1:6" ht="12.75">
      <c r="A72" s="38" t="s">
        <v>431</v>
      </c>
      <c r="B72" s="39">
        <f>'Figur 1'!E43</f>
        <v>122</v>
      </c>
      <c r="C72" s="39">
        <f>'Figur 1'!L43</f>
        <v>84</v>
      </c>
      <c r="D72" s="105">
        <v>5290394</v>
      </c>
      <c r="E72" s="107">
        <v>5288955</v>
      </c>
      <c r="F72" s="109">
        <f t="shared" si="0"/>
        <v>-1439</v>
      </c>
    </row>
    <row r="73" spans="1:6" ht="12.75">
      <c r="A73" s="38" t="s">
        <v>446</v>
      </c>
      <c r="B73" s="39">
        <f>'Figur 1'!E44</f>
        <v>95</v>
      </c>
      <c r="C73" s="39">
        <f>'Figur 1'!L44</f>
        <v>76</v>
      </c>
      <c r="D73" s="105">
        <v>5288958</v>
      </c>
      <c r="E73" s="107">
        <v>5299394</v>
      </c>
      <c r="F73" s="109">
        <f t="shared" si="0"/>
        <v>10436</v>
      </c>
    </row>
    <row r="74" spans="1:6" ht="12.75">
      <c r="A74" s="38" t="s">
        <v>449</v>
      </c>
      <c r="B74" s="39">
        <f>'Figur 1'!E45</f>
        <v>133</v>
      </c>
      <c r="C74" s="39">
        <f>'Figur 1'!L45</f>
        <v>113</v>
      </c>
      <c r="D74" s="105">
        <v>5299396</v>
      </c>
      <c r="E74" s="107">
        <v>5307154</v>
      </c>
      <c r="F74" s="109">
        <f t="shared" si="0"/>
        <v>7758</v>
      </c>
    </row>
    <row r="75" spans="1:6" ht="12.75">
      <c r="A75" s="38" t="s">
        <v>451</v>
      </c>
      <c r="B75" s="39">
        <f>'Figur 1'!E46</f>
        <v>97</v>
      </c>
      <c r="C75" s="39">
        <f>'Figur 1'!L46</f>
        <v>97</v>
      </c>
      <c r="D75" s="105">
        <v>5307155</v>
      </c>
      <c r="E75" s="107">
        <v>5314838</v>
      </c>
      <c r="F75" s="109">
        <f t="shared" si="0"/>
        <v>7683</v>
      </c>
    </row>
    <row r="76" spans="1:6" ht="12.75">
      <c r="A76" s="38" t="s">
        <v>457</v>
      </c>
      <c r="B76" s="39">
        <f>'Figur 1'!E47</f>
        <v>161</v>
      </c>
      <c r="C76" s="39">
        <f>'Figur 1'!L47</f>
        <v>132</v>
      </c>
      <c r="D76" s="105">
        <v>5314843</v>
      </c>
      <c r="E76" s="107">
        <v>5325223</v>
      </c>
      <c r="F76" s="109">
        <f>E76-D76</f>
        <v>10380</v>
      </c>
    </row>
    <row r="77" spans="1:6" ht="12.75">
      <c r="A77" s="38" t="s">
        <v>460</v>
      </c>
      <c r="B77" s="39">
        <f>'Figur 1'!E48</f>
        <v>94</v>
      </c>
      <c r="C77" s="39">
        <f>'Figur 1'!L48</f>
        <v>87</v>
      </c>
      <c r="D77" s="105">
        <v>5325228</v>
      </c>
      <c r="E77" s="107">
        <v>5336418</v>
      </c>
      <c r="F77" s="109">
        <f>E77-D77</f>
        <v>11190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Trygdeetaten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Petter Nossen</dc:creator>
  <cp:keywords/>
  <dc:description/>
  <cp:lastModifiedBy>Unni Helgesen</cp:lastModifiedBy>
  <cp:lastPrinted>2012-06-05T11:23:05Z</cp:lastPrinted>
  <dcterms:created xsi:type="dcterms:W3CDTF">2001-12-18T09:34:28Z</dcterms:created>
  <dcterms:modified xsi:type="dcterms:W3CDTF">2019-04-30T07:42:58Z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