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sjekt\TannBarn\A - Ferdigstilling del 1\LENKER til RL\Kostnadsanalyser\F-lakk\"/>
    </mc:Choice>
  </mc:AlternateContent>
  <xr:revisionPtr revIDLastSave="0" documentId="10_ncr:100000_{F7D915FA-2EF1-4492-A6F4-80D95806A5BB}" xr6:coauthVersionLast="31" xr6:coauthVersionMax="31" xr10:uidLastSave="{00000000-0000-0000-0000-000000000000}"/>
  <bookViews>
    <workbookView xWindow="165" yWindow="-30" windowWidth="23835" windowHeight="8955" activeTab="1" xr2:uid="{00000000-000D-0000-FFFF-FFFF00000000}"/>
  </bookViews>
  <sheets>
    <sheet name="1. Budsjettkostnader" sheetId="1" r:id="rId1"/>
    <sheet name="2. Kostnadseffektivitet" sheetId="9" r:id="rId2"/>
    <sheet name="3. Tannhelsedata 2017" sheetId="6" r:id="rId3"/>
    <sheet name="4. Fra beregning om FF" sheetId="10" r:id="rId4"/>
    <sheet name="Ark1" sheetId="11" r:id="rId5"/>
  </sheets>
  <calcPr calcId="179017"/>
</workbook>
</file>

<file path=xl/calcChain.xml><?xml version="1.0" encoding="utf-8"?>
<calcChain xmlns="http://schemas.openxmlformats.org/spreadsheetml/2006/main">
  <c r="C62" i="9" l="1"/>
  <c r="C63" i="9"/>
  <c r="E52" i="9"/>
  <c r="E51" i="9"/>
  <c r="D52" i="9"/>
  <c r="D51" i="9"/>
  <c r="C32" i="9"/>
  <c r="D28" i="9"/>
  <c r="E42" i="9" l="1"/>
  <c r="E41" i="9"/>
  <c r="D21" i="9"/>
  <c r="F13" i="9"/>
  <c r="D8" i="10" l="1"/>
  <c r="D9" i="10" l="1"/>
  <c r="D10" i="10" s="1"/>
  <c r="E11" i="9"/>
  <c r="B22" i="6" l="1"/>
  <c r="B21" i="6"/>
  <c r="B20" i="6"/>
  <c r="B19" i="6"/>
  <c r="B18" i="6"/>
  <c r="B16" i="6"/>
  <c r="B15" i="6"/>
  <c r="B32" i="6" l="1"/>
  <c r="B33" i="6"/>
  <c r="C33" i="6" s="1"/>
  <c r="B31" i="6"/>
  <c r="B29" i="6"/>
  <c r="B28" i="6"/>
  <c r="B27" i="6"/>
  <c r="B26" i="6"/>
  <c r="B25" i="6"/>
  <c r="E28" i="6"/>
  <c r="E26" i="6"/>
  <c r="B23" i="6"/>
  <c r="F12" i="9" l="1"/>
  <c r="D37" i="1" l="1"/>
  <c r="D40" i="1" l="1"/>
  <c r="D38" i="1"/>
  <c r="D48" i="9" l="1"/>
  <c r="D12" i="1" l="1"/>
  <c r="C12" i="1"/>
  <c r="E13" i="1" l="1"/>
  <c r="E12" i="1"/>
  <c r="E40" i="9" l="1"/>
  <c r="F14" i="9" l="1"/>
  <c r="H45" i="6"/>
  <c r="H47" i="6" s="1"/>
  <c r="C45" i="6"/>
  <c r="C47" i="6" s="1"/>
  <c r="M44" i="6"/>
  <c r="M45" i="6" s="1"/>
  <c r="N45" i="6" s="1"/>
  <c r="H44" i="6"/>
  <c r="H48" i="6" s="1"/>
  <c r="I48" i="6" s="1"/>
  <c r="C44" i="6"/>
  <c r="C48" i="6" s="1"/>
  <c r="D48" i="6" s="1"/>
  <c r="Q41" i="6"/>
  <c r="O41" i="6"/>
  <c r="N41" i="6"/>
  <c r="M47" i="6" s="1"/>
  <c r="N47" i="6" s="1"/>
  <c r="M41" i="6"/>
  <c r="K41" i="6"/>
  <c r="I41" i="6"/>
  <c r="G41" i="6"/>
  <c r="Q40" i="6"/>
  <c r="N40" i="6"/>
  <c r="H46" i="6" s="1"/>
  <c r="M40" i="6"/>
  <c r="K40" i="6"/>
  <c r="I40" i="6"/>
  <c r="I45" i="6" s="1"/>
  <c r="G40" i="6"/>
  <c r="I44" i="6" s="1"/>
  <c r="Q39" i="6"/>
  <c r="N39" i="6"/>
  <c r="C46" i="6" s="1"/>
  <c r="M39" i="6"/>
  <c r="K39" i="6"/>
  <c r="I39" i="6"/>
  <c r="G39" i="6"/>
  <c r="O40" i="6" l="1"/>
  <c r="I46" i="6" s="1"/>
  <c r="M46" i="6"/>
  <c r="N46" i="6" s="1"/>
  <c r="D45" i="6"/>
  <c r="C51" i="6"/>
  <c r="D51" i="6" s="1"/>
  <c r="C50" i="6"/>
  <c r="D50" i="6" s="1"/>
  <c r="C49" i="6"/>
  <c r="D49" i="6" s="1"/>
  <c r="D46" i="6"/>
  <c r="H50" i="6"/>
  <c r="I50" i="6" s="1"/>
  <c r="H49" i="6"/>
  <c r="I49" i="6" s="1"/>
  <c r="H51" i="6"/>
  <c r="I51" i="6" s="1"/>
  <c r="D44" i="6"/>
  <c r="O39" i="6"/>
  <c r="D21" i="1" l="1"/>
  <c r="D22" i="1" s="1"/>
  <c r="D25" i="1" s="1"/>
  <c r="D14" i="1"/>
  <c r="C14" i="1" l="1"/>
  <c r="J31" i="10"/>
  <c r="I31" i="10"/>
  <c r="D30" i="10" s="1"/>
  <c r="I30" i="10" s="1"/>
  <c r="J28" i="10"/>
  <c r="I28" i="10"/>
  <c r="E14" i="1" l="1"/>
  <c r="D33" i="10"/>
  <c r="I33" i="10" s="1"/>
  <c r="B11" i="6" l="1"/>
  <c r="C11" i="6"/>
  <c r="E5" i="6" l="1"/>
  <c r="C49" i="9" l="1"/>
  <c r="D50" i="9" s="1"/>
  <c r="D56" i="9" l="1"/>
  <c r="F15" i="9"/>
  <c r="E21" i="9" l="1"/>
  <c r="E22" i="9" s="1"/>
  <c r="D57" i="9"/>
  <c r="D24" i="1"/>
  <c r="E57" i="9" l="1"/>
  <c r="G21" i="9"/>
  <c r="G22" i="9" s="1"/>
  <c r="F21" i="9"/>
  <c r="F22" i="9" s="1"/>
  <c r="E56" i="9"/>
  <c r="F56" i="9"/>
  <c r="D26" i="1"/>
  <c r="D25" i="9" s="1"/>
  <c r="F57" i="9" l="1"/>
  <c r="D58" i="9"/>
  <c r="E58" i="9" s="1"/>
  <c r="B31" i="1"/>
  <c r="B30" i="1"/>
  <c r="B32" i="1" s="1"/>
  <c r="F58" i="9" l="1"/>
  <c r="D30" i="1"/>
  <c r="D31" i="1"/>
  <c r="C31" i="1"/>
  <c r="C30" i="1"/>
  <c r="D39" i="1"/>
  <c r="D41" i="1" l="1"/>
  <c r="D26" i="9" s="1"/>
  <c r="D27" i="9" s="1"/>
  <c r="C32" i="1"/>
  <c r="D32" i="1"/>
  <c r="D33" i="9" l="1"/>
  <c r="E33" i="9" s="1"/>
  <c r="B46" i="1"/>
  <c r="B45" i="1"/>
  <c r="G33" i="9" l="1"/>
  <c r="G34" i="9" s="1"/>
  <c r="F33" i="9"/>
  <c r="F34" i="9" s="1"/>
  <c r="E34" i="9"/>
  <c r="E62" i="9"/>
  <c r="D62" i="9"/>
  <c r="D72" i="9"/>
  <c r="D63" i="9"/>
  <c r="E63" i="9"/>
  <c r="B47" i="1"/>
  <c r="D45" i="1"/>
  <c r="C45" i="1"/>
  <c r="B51" i="1"/>
  <c r="D46" i="1"/>
  <c r="C46" i="1"/>
  <c r="B52" i="1"/>
  <c r="E72" i="9" l="1"/>
  <c r="F72" i="9"/>
  <c r="C52" i="1"/>
  <c r="D52" i="1"/>
  <c r="D51" i="1"/>
  <c r="C51" i="1"/>
  <c r="C47" i="1"/>
  <c r="D47" i="1"/>
  <c r="B53" i="1"/>
  <c r="D53" i="1" s="1"/>
  <c r="C64" i="9" l="1"/>
  <c r="C53" i="1"/>
  <c r="E64" i="9" l="1"/>
  <c r="C65" i="9"/>
  <c r="C66" i="9"/>
  <c r="D64" i="9"/>
  <c r="D71" i="9"/>
  <c r="D73" i="9"/>
  <c r="E73" i="9" l="1"/>
  <c r="F73" i="9"/>
  <c r="D66" i="9"/>
  <c r="E66" i="9"/>
  <c r="E65" i="9"/>
  <c r="D65" i="9"/>
  <c r="F71" i="9"/>
  <c r="E71" i="9"/>
</calcChain>
</file>

<file path=xl/sharedStrings.xml><?xml version="1.0" encoding="utf-8"?>
<sst xmlns="http://schemas.openxmlformats.org/spreadsheetml/2006/main" count="313" uniqueCount="265">
  <si>
    <t>Antall barn</t>
  </si>
  <si>
    <t>minus 20%</t>
  </si>
  <si>
    <t>Kroner</t>
  </si>
  <si>
    <t>Sylinderampulle</t>
  </si>
  <si>
    <t xml:space="preserve">10 ml tube </t>
  </si>
  <si>
    <t>Antall årskull</t>
  </si>
  <si>
    <t>pluss 20 %</t>
  </si>
  <si>
    <t>Usikkerhet +/- 20%</t>
  </si>
  <si>
    <t>Antall tenner</t>
  </si>
  <si>
    <t>Timer</t>
  </si>
  <si>
    <t>Antall flater</t>
  </si>
  <si>
    <t>Antall undersøkte 3-18 år</t>
  </si>
  <si>
    <t>Antall barn og unge 3-20 år undersøkt/behandlet i 2017</t>
  </si>
  <si>
    <t>Antall undersøkt/behandlet 5+12+18 år</t>
  </si>
  <si>
    <t xml:space="preserve">Gjennomsnittlig tidsbruk ved fylling i en flate </t>
  </si>
  <si>
    <t xml:space="preserve">Sum barn </t>
  </si>
  <si>
    <t>5 år</t>
  </si>
  <si>
    <t>12 år</t>
  </si>
  <si>
    <t>18 år</t>
  </si>
  <si>
    <t>DFT(DFS)=0</t>
  </si>
  <si>
    <t>Gjennom-snittlig DFT</t>
  </si>
  <si>
    <t>Gjennom-snittlig DFS</t>
  </si>
  <si>
    <t>DFT som andel av DFS</t>
  </si>
  <si>
    <t>DFS/DFT</t>
  </si>
  <si>
    <t>Mejare 2004, 19-åringer:</t>
  </si>
  <si>
    <t>Nørrisgaard, 18-åringer</t>
  </si>
  <si>
    <t>Sverige 2016, 19-åringer. Socialstyrelsen.se</t>
  </si>
  <si>
    <t>Danmark 2016, 18-åringer. SST.dk</t>
  </si>
  <si>
    <t>Danmark 2017, 18-åringer</t>
  </si>
  <si>
    <t>Norge 2017,18-åringer</t>
  </si>
  <si>
    <t>Norge 2005, 18-åringer</t>
  </si>
  <si>
    <t>Grønn skrift: verdiene er beregnet</t>
  </si>
  <si>
    <t>*Tannhelsetilstanden for 18-åringer fremskrevet på bakgrunn av tannhelseutviklingen fra 2005-2017, og forutsatt at praksis er uendret, se "Kostnadsanalyse av fissurforsegling"</t>
  </si>
  <si>
    <t>Antall</t>
  </si>
  <si>
    <t>Andel av totalt DFS</t>
  </si>
  <si>
    <t xml:space="preserve">Årslønn tannlege inkludert sosiale utgifter </t>
  </si>
  <si>
    <t xml:space="preserve">Årslønn tannhelsesekretær inkludert sosiale utgifter </t>
  </si>
  <si>
    <t>Andel undersøkt</t>
  </si>
  <si>
    <t xml:space="preserve">Barn unge 3-18 år  </t>
  </si>
  <si>
    <t>Anestesi</t>
  </si>
  <si>
    <t>ml</t>
  </si>
  <si>
    <t>Primære tannsettet - Barn&lt;7 år</t>
  </si>
  <si>
    <t xml:space="preserve">Blandingstannsettet - barn 7-13 år </t>
  </si>
  <si>
    <t>Ungdom/voksne (0,75-1,00 ml)</t>
  </si>
  <si>
    <t xml:space="preserve"> Tube - Kroner</t>
  </si>
  <si>
    <t xml:space="preserve">Ampulle - Kroner  </t>
  </si>
  <si>
    <t>Gjennomsnitt av Tube og Ampulle</t>
  </si>
  <si>
    <t>Tabell 1</t>
  </si>
  <si>
    <t>Okklusalflater i molarene med DF-score</t>
  </si>
  <si>
    <t xml:space="preserve">DFT er lavere enn DFS fordi noen tenner har flere flater med karies/fylling. </t>
  </si>
  <si>
    <t>Derfor er andelen okklusal DFS av total DFT høyere enn andelen okklusal DFS av total DFS.</t>
  </si>
  <si>
    <t>Tabell 2: Ulike data fra forskning og offentlig statistikk - og beregning den relative andelen okklusalkaries i 2031</t>
  </si>
  <si>
    <t xml:space="preserve">Tabeller fra beregning av kostnader ved fissurforsegling, regneark 8. </t>
  </si>
  <si>
    <t>Approksimalflater med DF-score</t>
  </si>
  <si>
    <t>Andre flater med DF-score</t>
  </si>
  <si>
    <t xml:space="preserve">Sum </t>
  </si>
  <si>
    <t>Lønnskostnader (tannlege + tannhelsesekretær) per time</t>
  </si>
  <si>
    <t>Sparte lønnskostnader til fyllingsterapi</t>
  </si>
  <si>
    <t>Sparte materialkostnader til fyllingsterapi</t>
  </si>
  <si>
    <t>Sum sparte kostnader til fyllingsterapi</t>
  </si>
  <si>
    <t>Netto materialkostnader</t>
  </si>
  <si>
    <t>Alle barn og unge 3-20 år</t>
  </si>
  <si>
    <t>Ungdom 19-21 år</t>
  </si>
  <si>
    <t xml:space="preserve">Tilleggskostnader </t>
  </si>
  <si>
    <t>Duraphat</t>
  </si>
  <si>
    <t>Materialkostnader</t>
  </si>
  <si>
    <t>Personer i aldersgruppen 3-20 år, 2017</t>
  </si>
  <si>
    <t>Barn og unge i aldersgruppen 3-18 år, 2017</t>
  </si>
  <si>
    <t xml:space="preserve">Antall </t>
  </si>
  <si>
    <t>Personer i aldersgruppen 19-20 år, 2017</t>
  </si>
  <si>
    <t xml:space="preserve">Tannhelsetilstand og kariesforekomst blant 5-, 12- og 18-åringer </t>
  </si>
  <si>
    <t>Antall i hver alders-gruppe</t>
  </si>
  <si>
    <t>Antall underskt/ behandlet</t>
  </si>
  <si>
    <t>Andel % undersøkt/ behandlet (prosent)</t>
  </si>
  <si>
    <t>Antall med DMFT=0</t>
  </si>
  <si>
    <t>Andel % med DMFT=0</t>
  </si>
  <si>
    <t xml:space="preserve">Antall med DMFT=1-4 </t>
  </si>
  <si>
    <t>Andel % med DMFT=1-4</t>
  </si>
  <si>
    <t>Antall med DMFT=5-9</t>
  </si>
  <si>
    <t>Andel % med DMFT=5-9</t>
  </si>
  <si>
    <t>Antall med DMFT&gt;9</t>
  </si>
  <si>
    <t>Andel % med DMFT&gt;9</t>
  </si>
  <si>
    <t>Antall med DMFT&gt;4</t>
  </si>
  <si>
    <t>Andel % med DMFT&gt;4</t>
  </si>
  <si>
    <t>Antall  uten ny karies-erfaring DT=0</t>
  </si>
  <si>
    <t>Andel % med DT=0</t>
  </si>
  <si>
    <t>Gj.sn DMFT</t>
  </si>
  <si>
    <t>EAFK Landet</t>
  </si>
  <si>
    <t>DMFT=0</t>
  </si>
  <si>
    <t>DMFT=1</t>
  </si>
  <si>
    <t>DMFT=1-4</t>
  </si>
  <si>
    <t>DMFT&gt;2</t>
  </si>
  <si>
    <t>DMFT&gt;4</t>
  </si>
  <si>
    <t>DMFT&gt;3</t>
  </si>
  <si>
    <t>DMFT=1,2,3 el 4</t>
  </si>
  <si>
    <t>DMFT&gt;0</t>
  </si>
  <si>
    <t>DMFT&gt;1</t>
  </si>
  <si>
    <t>Tabell 4.  Tannhelsetilstand og kariesforekomst blant 5-, 12- og 18-åringer i 2017</t>
  </si>
  <si>
    <t>Tabell 4a</t>
  </si>
  <si>
    <t>Tabell 4b</t>
  </si>
  <si>
    <t>Tabell 4c</t>
  </si>
  <si>
    <t xml:space="preserve">30% får fluorlakk 1 ekstra gang i løpet av året </t>
  </si>
  <si>
    <t>Totalt antall konsultasjoner per år hvor det appliseres fluorlakk</t>
  </si>
  <si>
    <t xml:space="preserve">Kostnaden beregnes ved å multiplisere antall fluorlakk-konsultasjoner med kostnaden for en konsultasjon  </t>
  </si>
  <si>
    <t xml:space="preserve">10% får fluorlakk 2-3 ekstra ganger </t>
  </si>
  <si>
    <t xml:space="preserve">Klinisk tannlegeårsverk </t>
  </si>
  <si>
    <t>80% av bruttotid i 44 uker (52 uker minus ferie og fridager). 80% fordi 20% er adm, kurs mm</t>
  </si>
  <si>
    <t>Årsverk</t>
  </si>
  <si>
    <t>Usikkerhet -/+20%</t>
  </si>
  <si>
    <t>Frigjort tannlegetid</t>
  </si>
  <si>
    <t>Frigjort tannlege- og tannhelsesekretærtid</t>
  </si>
  <si>
    <t>Kariøse flater som forebygges årlig blant barn og unge 3-20 år</t>
  </si>
  <si>
    <t>Tilleggskostander per konsultasjon</t>
  </si>
  <si>
    <t>Dappenglass og pensel</t>
  </si>
  <si>
    <t>Kanyle</t>
  </si>
  <si>
    <t>Barn og unge 3-20 år som årlig får undersøkelse (65%)</t>
  </si>
  <si>
    <t>KOSTRA 2017: 65 % av gruppen 3-18 år ble undersøkt</t>
  </si>
  <si>
    <t>Kariøse okklusalflater i molarene i gruppen</t>
  </si>
  <si>
    <t>Antall kariøse flater = 1,5 ganger antall kariøse tenner (regneark 4, tabell 2)</t>
  </si>
  <si>
    <t xml:space="preserve">Reduserte materialkostnader ved fyllingsterapi </t>
  </si>
  <si>
    <t>Budsjettkostnader ved anbefalingen om fluorlakk på risikoflater ved hver konsultasjon</t>
  </si>
  <si>
    <t>*Budsjettkostander er økte kostnader ved tiltaket som det må budsjetteres for. Her vil det være utgifter til fluorlakk og tilleggsutstyr</t>
  </si>
  <si>
    <r>
      <t>*I Mahrinho et al 2013 (fullstendig referanse i "Kostnandsanalyse fluorlakk") benyttet de fleste studiene 0,5 ml fluorlakk (Duraphat</t>
    </r>
    <r>
      <rPr>
        <sz val="11"/>
        <color theme="1"/>
        <rFont val="Calibri"/>
        <family val="2"/>
      </rPr>
      <t xml:space="preserve">®) </t>
    </r>
    <r>
      <rPr>
        <sz val="11"/>
        <color theme="1"/>
        <rFont val="Calibri"/>
        <family val="2"/>
        <scheme val="minor"/>
      </rPr>
      <t>per barn/ungdom. Felleskataolgen har lavere maksimaldoser for barn&lt;14 år, derfor forutsettes her lavere gjennomsnittsdose på 0,4ml</t>
    </r>
  </si>
  <si>
    <t>Er basert på DMFT-tall skjønn</t>
  </si>
  <si>
    <t>Er basert på DMFT-tall og skjønn</t>
  </si>
  <si>
    <t xml:space="preserve">Beregningen er gjort for et år i hele landet </t>
  </si>
  <si>
    <t>Kariøse tenner (d/DT) i gruppen 3-20 år</t>
  </si>
  <si>
    <t xml:space="preserve">Kariøse flater (d/DS) i gruppen </t>
  </si>
  <si>
    <t>Helsedirektoratets lønnsnorm 2018</t>
  </si>
  <si>
    <t xml:space="preserve">Gjennomsnittskostnader per fylt flate (985kr) minus lønnskostnader (533kr) per fylt flate </t>
  </si>
  <si>
    <t xml:space="preserve">0,7 timer=42 minutter. Approksiamle fyllinger utgjør 50% av fyllinger utenom okklusalkaries i molarene (regneark 4, tabell 1c), og øker gjennomsnittstiden. Se "Kostnadsanalyse av fluorlakk" - Forutsetninger ved beregningen" </t>
  </si>
  <si>
    <t xml:space="preserve">Frigjort tannlegetid </t>
  </si>
  <si>
    <t>Frigjort tannlege- og tannhelsesekretærtid=frigort tannlegetid x 2</t>
  </si>
  <si>
    <t>Lønnskostnader per fyling (=per fylt flate)</t>
  </si>
  <si>
    <t>Andre kostnader per fylling (materialer, utstyr mm)</t>
  </si>
  <si>
    <t>Tabell 9. Netto materialkostnader ved økning i utgifter til fluorlakk og reduserte utgifter til fyllingsterapi</t>
  </si>
  <si>
    <r>
      <t>Tabell 1a Kostnader Duraphat</t>
    </r>
    <r>
      <rPr>
        <b/>
        <sz val="11"/>
        <color theme="1"/>
        <rFont val="Calibri"/>
        <family val="2"/>
      </rPr>
      <t>®</t>
    </r>
  </si>
  <si>
    <t>Tabell 1b Felleskatalogen har maksimaldoser</t>
  </si>
  <si>
    <t>Regneark 1, tabell 6</t>
  </si>
  <si>
    <t>Budsjettkostnader - Tube og pensel</t>
  </si>
  <si>
    <t>Budsjettkostnader  - Ampulle og kanyle</t>
  </si>
  <si>
    <t xml:space="preserve">Budsjettkostnader* gjennomsnitt tube og ampulle  </t>
  </si>
  <si>
    <t xml:space="preserve">*Forutsatt at det i halvparten av appliseringene benyttes Duraphat® fra tube, og det i den andre halvparten benyttes Duraphat® påført ved kanyle. </t>
  </si>
  <si>
    <t>Gjennomsnittskostnad* av tube og ampulle</t>
  </si>
  <si>
    <t>Duraphat tube, inkludert tilleggsutstyr</t>
  </si>
  <si>
    <t>Duraphat ampulle,inkludert tilleggsutstyr</t>
  </si>
  <si>
    <t>Tabell 6 Lønn- og andre kostnader per flate fyllingsterapi</t>
  </si>
  <si>
    <t>Tabell 2. Frigjorte årsverk grunnet sparte fyllinger ved bruk av fluorlakk etter anbefalingen (Ny praksis)</t>
  </si>
  <si>
    <t>Tabell 7. Sparte kostnader grunnet redusert antall fyllinger ved bruk av fluorlakk etter anbefalingen (Ny praksis)</t>
  </si>
  <si>
    <t xml:space="preserve">Tabell 8. Reduksjonen i kostnader ved Ny praksis sammenlignet med Nåværende praksis </t>
  </si>
  <si>
    <t xml:space="preserve">Økning av materialkostnader til fluorlakk </t>
  </si>
  <si>
    <t>Reduksjon av materialkostnader til fyllingsterapi</t>
  </si>
  <si>
    <t>Differansen mellom Ny og Nåværende praksis</t>
  </si>
  <si>
    <t>Tabell 2. Antall konsultasjoner per år med påføring av fluorlakk i Ny praksis</t>
  </si>
  <si>
    <t>Tabell 6. Budsjettkostnader (tilleggskostnader ved Ny praksis) det første året for hele landet</t>
  </si>
  <si>
    <t xml:space="preserve">Tabell 3. Økning i omfang av fluorlakk ved Ny praksis </t>
  </si>
  <si>
    <t>Se ark 1, tabell 2 - siste rad</t>
  </si>
  <si>
    <t>Se ark 1, tabell 4 - siste rad</t>
  </si>
  <si>
    <t>Kostnadseffektivitet (kostnader og gevinster) av fluorlakk (FL) på risikoflater ved hver konsultasjon</t>
  </si>
  <si>
    <t>Antall konsultasjoner med FL i Ny praksis</t>
  </si>
  <si>
    <t>Antall konsultasjoner med FL i Nåværende praksis</t>
  </si>
  <si>
    <t xml:space="preserve">Økning i omfang av FL i Ny praksis, som % av FL-omfanget i Ny praksis </t>
  </si>
  <si>
    <t>Tabell 4. Økning i frigjort tid vedfluorlakk i Ny praksis sammenlignet med Nåværende praksis</t>
  </si>
  <si>
    <t xml:space="preserve">Økningen i sparte fyllinger (forebyggete karieslesjoner) </t>
  </si>
  <si>
    <r>
      <rPr>
        <b/>
        <sz val="11"/>
        <color theme="1"/>
        <rFont val="Calibri"/>
        <family val="2"/>
        <scheme val="minor"/>
      </rPr>
      <t>Ny praksis</t>
    </r>
    <r>
      <rPr>
        <sz val="11"/>
        <color theme="1"/>
        <rFont val="Calibri"/>
        <family val="2"/>
        <scheme val="minor"/>
      </rPr>
      <t xml:space="preserve"> = retningslinjens anbefaling om fluorlakk </t>
    </r>
  </si>
  <si>
    <t>Tabell 1 Beregning av antall kariøse flater som forebygges årlig blant barn og unge 3-20 år ved Ny praksis</t>
  </si>
  <si>
    <t>Antall karieslesjoner = antall flater med karies</t>
  </si>
  <si>
    <t xml:space="preserve">Ekstra konsultasjoner med FL er 30% antall undersøkelser med FL </t>
  </si>
  <si>
    <t xml:space="preserve">Noen barn/unge får FL en eller flere ganger. Totalt utgjør dette 30% av antall undersøkelser med FL </t>
  </si>
  <si>
    <t>Årslønn (1 425 861kr) dividert med brutto timer per tannlegeårsverk (1 872)</t>
  </si>
  <si>
    <t>Fyllinger</t>
  </si>
  <si>
    <t>Tabell 5. Totale kostnader (lønn og andre kostnader) per fyllling</t>
  </si>
  <si>
    <t>Totale kostnader per fylling/fylt flate er i gjennomsnitt</t>
  </si>
  <si>
    <t>Gjennomsnittskostnad for fyllingsterapi per flate</t>
  </si>
  <si>
    <t>Fyllingsterapi 1 flate (klasse I,III,IV)</t>
  </si>
  <si>
    <t>Fyllingsterapi 2 flater (klasse II)</t>
  </si>
  <si>
    <t>Tannlege- og tannhelsesekretæårsverk, bruttotid</t>
  </si>
  <si>
    <t xml:space="preserve">Sum reduksjon av materialkostnader </t>
  </si>
  <si>
    <t xml:space="preserve">Sum reduksjon av alle kostnader* </t>
  </si>
  <si>
    <t>Reduksjon av lønnskostnader til fyllingsterapi</t>
  </si>
  <si>
    <t>*forutsetter at gevinsten "frigjort tid" realiseres i penger</t>
  </si>
  <si>
    <t xml:space="preserve">Tabell 1. Materialkostnader Duraphat per seanse </t>
  </si>
  <si>
    <r>
      <t>Gjennomsnittsmengde Duraphat</t>
    </r>
    <r>
      <rPr>
        <sz val="11"/>
        <color theme="1"/>
        <rFont val="Calibri"/>
        <family val="2"/>
      </rPr>
      <t>®</t>
    </r>
    <r>
      <rPr>
        <sz val="11"/>
        <color theme="1"/>
        <rFont val="Calibri"/>
        <family val="2"/>
        <scheme val="minor"/>
      </rPr>
      <t xml:space="preserve"> per person*</t>
    </r>
  </si>
  <si>
    <t>Antall FL-appliseringer per år</t>
  </si>
  <si>
    <t>Tabell 4. Antall fluorlakkappliseringer i Nåværende praksis</t>
  </si>
  <si>
    <t>Antall fluorlakkappliseringer per år i Nåværende praksis</t>
  </si>
  <si>
    <t>Antall undersøkelser med fluorlakk</t>
  </si>
  <si>
    <t>Tabell 5. Materialkostnader til fluorlakkappliseringer i Nåværende praksis</t>
  </si>
  <si>
    <t xml:space="preserve">Tabell 3. Materialkostnader til fluorlakkappliseringer i Ny praksis </t>
  </si>
  <si>
    <t>Gjennomsnittskostnad av tube og ampulle</t>
  </si>
  <si>
    <t>*Budsjettkostnadene er differensen mellom kostnadene ved Ny og Nåværende praksis</t>
  </si>
  <si>
    <t xml:space="preserve">Der det ikke finnes data for alle årskull  i statistikken er 12-årskullet valgt som gjennomsnitt for hele gruppen 3-20 år. Mange data finnes kun for 5-, 12- og 18-årskullene.  </t>
  </si>
  <si>
    <t xml:space="preserve">Tannhelsestatistikken KOSTRA 2017 er lagt til grunn i beregningen. </t>
  </si>
  <si>
    <t xml:space="preserve">43% av tannleger og tannpleiere benytter FL på alle barn og unge ved undersøkelse </t>
  </si>
  <si>
    <t>57% av tannleger og tannpleiere benytter FL etter individuell vurdering - og 30% av barna får FL ved undersøkelse</t>
  </si>
  <si>
    <t xml:space="preserve">Widström et al 2016: 57% benytter fluorlakk på ind. indikasjoner. KOSTRA 2017: 30% av 12-åringene hadde DMFT&gt;1. Tallet 127 861 er 30% av 57% av antall konsultasjoner med fluorlakk (57% av 747 724 = 426 203, og 30% av dette er 127 861) </t>
  </si>
  <si>
    <t>321742+127861</t>
  </si>
  <si>
    <t>449382+134815</t>
  </si>
  <si>
    <t xml:space="preserve">Basert på Widström et al 2016 (fullstendig referanse i "Kostnandsanalyse ved fluorlakk"). 43% av antall barn og unge 3-20 år som årlig får undersøkelse får fluorlakk ved undersøkelsen (747 724 x 0,43) </t>
  </si>
  <si>
    <t>Konservativt estimat</t>
  </si>
  <si>
    <t>Fra KOSTRA 2017</t>
  </si>
  <si>
    <t>Øvrige flater med karies i gruppen</t>
  </si>
  <si>
    <t>Antall dt/DT</t>
  </si>
  <si>
    <t>3 år: dt er 25% av dt ved 5 år</t>
  </si>
  <si>
    <t>Tabell 2: Andel som var til undersøkelse i 2017</t>
  </si>
  <si>
    <t xml:space="preserve">Tabell 3. Beregning av antall kariøse tenner i gruppen 3-20 år </t>
  </si>
  <si>
    <t>4 år: dt er 50% av dt ved 5 år</t>
  </si>
  <si>
    <t>Både primære og permanente tenner er aktuelle</t>
  </si>
  <si>
    <t>7 år: dt+DT er 120% avdt ved 5 år</t>
  </si>
  <si>
    <t>6 år: dt+DT er 110% av dt ved 5 år</t>
  </si>
  <si>
    <t>18 år: KOSTRA 2017</t>
  </si>
  <si>
    <t xml:space="preserve">12 år: KOSTRA 2017 </t>
  </si>
  <si>
    <t>Pasientbehandling i tannhelsetjenesten 2017 - KOSTRA-statistikken, SSB https://www.ssb.no/statbank/table/11961/tableViewLayout1/</t>
  </si>
  <si>
    <t xml:space="preserve">5 år: KOSTRA 2017 </t>
  </si>
  <si>
    <t>10 år: DT er 70% av DT ved 12 år</t>
  </si>
  <si>
    <t>11 år: DT er 85% av DT ved 12 år</t>
  </si>
  <si>
    <t>9 år:  DT er 55% av DT ved 12 år</t>
  </si>
  <si>
    <t>8 år: DT er 40% av DT ved 12 år</t>
  </si>
  <si>
    <t>Økning i DT fra 12-18 år er</t>
  </si>
  <si>
    <t>Sum dt/DT 3-20 år</t>
  </si>
  <si>
    <t xml:space="preserve">Det forutsettes lik økning i DT hvert år (1/6 av 29 571): </t>
  </si>
  <si>
    <t>13 år: DT ved 12 år + 4 929</t>
  </si>
  <si>
    <t>14 år: DT ved 13 år + 4 929</t>
  </si>
  <si>
    <t>15 år: DT ved 14 år + 4 929</t>
  </si>
  <si>
    <t>16 år: DT ved 15 år + 4 929</t>
  </si>
  <si>
    <t>17 år: DT ved 16 år + 4 929</t>
  </si>
  <si>
    <t>19 år: 80% av DT ved 18 år</t>
  </si>
  <si>
    <t>20 år: 60% av DT ved 18 år</t>
  </si>
  <si>
    <t>Se beregning i tabell 3, regneark 3</t>
  </si>
  <si>
    <t xml:space="preserve">Det antas at DFS/DFT er lavere for hele gruppen enn for 18-åringene fordi antall karieslesjoner øker i tenårene.   </t>
  </si>
  <si>
    <t>Antall kariøse flater totalt (529 936) minus antall DFS-okklusalt (317 962)</t>
  </si>
  <si>
    <t xml:space="preserve">30 % av antall flater med karies kan forebygges. Dette er et konservativt estimat i forhold til forskningsgrunnlaget som viser en forebyggende andel på 37% i temporære og 43% i permanente tenner </t>
  </si>
  <si>
    <t>Beregning: 574 775/1 158 972x100</t>
  </si>
  <si>
    <t>Frigjort tannlegetid: økning i sparte fyllinger (31 538) multiplisert med tidsbruk per fylling (0,7t)</t>
  </si>
  <si>
    <t>70% av lønnskostnader per time (0,7 timer per fylling)</t>
  </si>
  <si>
    <t>Tallet fremkommer ved å multiplisere antall fyllinger som spares (63 592) med lønnskostnadene per fylt flate (533kr). Dette forutsetter at gevinsten "frigjorte årsverk" realiseres.</t>
  </si>
  <si>
    <t xml:space="preserve">Økning i antall sparte fyllinger (31 538) multiplisert med lønnskostnadene per fylling (533kr). </t>
  </si>
  <si>
    <t xml:space="preserve">Økning i antall sparte fyllinger (31 538) multiplisert  med "andre kostnader" per fylling (451kr). </t>
  </si>
  <si>
    <t>Tabell 6 i regneark 1</t>
  </si>
  <si>
    <t>Forutsetninger i beregningen*</t>
  </si>
  <si>
    <t>Gjennom-snittlig DFS-okklusalt</t>
  </si>
  <si>
    <t>Gjennom-snittlig DFS-initialkaries</t>
  </si>
  <si>
    <t>:Antall karierte flater er 1,5 ganger så høyt som antall karierte tenner</t>
  </si>
  <si>
    <t xml:space="preserve">*Basert på kunnskap fra forskning og klinisk erfaring, om kariestilvekst gjennom oppveksten. </t>
  </si>
  <si>
    <t>: ca 10% færre i andre årskull enn indikatorkullene som undersøkes, samt usikkerhet i beregningen</t>
  </si>
  <si>
    <t xml:space="preserve">Tabell 1c viser at andel okklusalflater med karies hos 18-åringene er 62%. Denne andelen vil være høyere for hele gruppen 6-20 år, anslagsvis 70 %. (Mejare et al 2004 fant at andelen okklusalflater med karies hos 12-åringene var 80%).  </t>
  </si>
  <si>
    <t xml:space="preserve">Andelen okklusalflater med karies av alle flater, blir deriomot lavere når det kun gjelder DFS-okklusalt hos individer med høy eller moderat kariesrisko, anslagsvis 65%.                                           </t>
  </si>
  <si>
    <t xml:space="preserve">Et annet forhold som medfører reduksjon av andelen er at gruppen 3-20 år er større og de primære tenne tellser også med. </t>
  </si>
  <si>
    <r>
      <t>Andel okklusal DFS av DFT (</t>
    </r>
    <r>
      <rPr>
        <b/>
        <u/>
        <sz val="14"/>
        <color theme="1"/>
        <rFont val="Calibri"/>
        <family val="2"/>
        <scheme val="minor"/>
      </rPr>
      <t xml:space="preserve">flater </t>
    </r>
    <r>
      <rPr>
        <b/>
        <sz val="14"/>
        <color theme="1"/>
        <rFont val="Calibri"/>
        <family val="2"/>
        <scheme val="minor"/>
      </rPr>
      <t xml:space="preserve">med akklusalkarieserfaring som andel av </t>
    </r>
    <r>
      <rPr>
        <b/>
        <u/>
        <sz val="14"/>
        <color theme="1"/>
        <rFont val="Calibri"/>
        <family val="2"/>
        <scheme val="minor"/>
      </rPr>
      <t>tenner</t>
    </r>
    <r>
      <rPr>
        <b/>
        <sz val="14"/>
        <color theme="1"/>
        <rFont val="Calibri"/>
        <family val="2"/>
        <scheme val="minor"/>
      </rPr>
      <t xml:space="preserve"> med karieserfaring):</t>
    </r>
  </si>
  <si>
    <t>Tabell 1c* Andel okklusalkarieslesjoner i 18-åringenes molarer av totalt antall karieslesjoner (DFS)</t>
  </si>
  <si>
    <t xml:space="preserve">*Tabellen er kopi av tabell 1c, regneark 8 i Kostnadsberegning av fissurforsegling. Tallene bygger på en artikkel av Nørrisgaard et al 20012.  </t>
  </si>
  <si>
    <t>DFS-okklusalt hos individer med høy/moderat kariesrisiko, som andel av total DFS i gruppen 3-20 år</t>
  </si>
  <si>
    <t xml:space="preserve">Antall DFS-okklusalt i molarene hos barn med høy/moderat kariesrisiko utgjør ca 55% av otalt antall DFS (regneark 4, tabell 1c) </t>
  </si>
  <si>
    <t>Frigjorte timer: Tid per fylling (0,7t) multiplisert med flater som forebygges/spares (71 541)</t>
  </si>
  <si>
    <t>Frigjorte årsverk: Frigjorte timer (50 079) dividert med timer i et klinisk årsverk (1 310)</t>
  </si>
  <si>
    <t>Beregning: 50% av 71 541 (=karieslesjoner som forebygges i Ny praksis)</t>
  </si>
  <si>
    <t xml:space="preserve">HELFO-takst 2018 </t>
  </si>
  <si>
    <t>Andel med DFS-approksimalt =0</t>
  </si>
  <si>
    <t>Gjennomsnittlig DFS-approksimalt</t>
  </si>
  <si>
    <r>
      <t xml:space="preserve">1) Antall DFS-okklusalt hos individer 3-20 år med høy/moderat kariesrisko, anslås å utgjøre </t>
    </r>
    <r>
      <rPr>
        <b/>
        <sz val="11"/>
        <color theme="1"/>
        <rFont val="Calibri"/>
        <family val="2"/>
        <scheme val="minor"/>
      </rPr>
      <t>55%</t>
    </r>
    <r>
      <rPr>
        <sz val="11"/>
        <color theme="1"/>
        <rFont val="Calibri"/>
        <family val="2"/>
        <scheme val="minor"/>
      </rPr>
      <t xml:space="preserve"> av alle flater med karies. (Konservativt estimat)</t>
    </r>
  </si>
  <si>
    <r>
      <t xml:space="preserve">2) Av øvrige lesjoner er 20% approksimalt og 19 % i andre flater. Approksimalkaries andel av øvrige lesjoner er derfor cirka </t>
    </r>
    <r>
      <rPr>
        <b/>
        <sz val="11"/>
        <color theme="1"/>
        <rFont val="Calibri"/>
        <family val="2"/>
        <scheme val="minor"/>
      </rPr>
      <t>50%</t>
    </r>
  </si>
  <si>
    <t>Konklusjon:</t>
  </si>
  <si>
    <t>Halvparten av karieslesjonene, foruten okklusalkaries i de permanente molarene, er approksimalt (ark 4, tabell 1c). Gjennomsnittskostnad per flate er 50% av taksten for klasse II-fyllinger  + 50% av taksten for 1-flate-fyllinger (1084/2 + 655/2)</t>
  </si>
  <si>
    <t>Årslønn tannlege og tannhelsesekr.  Inkl. sosiale utgifter</t>
  </si>
  <si>
    <t>Andel 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</si>
</sst>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33333"/>
      <name val="Inherit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</font>
    <font>
      <sz val="10"/>
      <color rgb="FF00B05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2">
    <xf numFmtId="0" fontId="0" fillId="0" borderId="0" xfId="0"/>
    <xf numFmtId="0" fontId="1" fillId="0" borderId="0" xfId="0" applyFont="1"/>
    <xf numFmtId="164" fontId="1" fillId="0" borderId="0" xfId="0" applyNumberFormat="1" applyFont="1"/>
    <xf numFmtId="3" fontId="0" fillId="0" borderId="0" xfId="0" applyNumberFormat="1"/>
    <xf numFmtId="3" fontId="3" fillId="2" borderId="0" xfId="0" applyNumberFormat="1" applyFont="1" applyFill="1" applyAlignment="1">
      <alignment horizontal="left" vertical="top" indent="1"/>
    </xf>
    <xf numFmtId="0" fontId="1" fillId="0" borderId="0" xfId="0" applyFont="1" applyFill="1"/>
    <xf numFmtId="0" fontId="4" fillId="0" borderId="0" xfId="0" applyFont="1"/>
    <xf numFmtId="0" fontId="0" fillId="3" borderId="1" xfId="0" applyFill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3" fontId="0" fillId="3" borderId="1" xfId="0" applyNumberForma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3" fontId="0" fillId="0" borderId="0" xfId="0" applyNumberFormat="1" applyFont="1"/>
    <xf numFmtId="0" fontId="0" fillId="0" borderId="0" xfId="0" applyFill="1" applyProtection="1"/>
    <xf numFmtId="0" fontId="0" fillId="0" borderId="0" xfId="0" applyBorder="1"/>
    <xf numFmtId="0" fontId="0" fillId="3" borderId="1" xfId="0" applyFont="1" applyFill="1" applyBorder="1"/>
    <xf numFmtId="0" fontId="0" fillId="0" borderId="0" xfId="0" applyFill="1"/>
    <xf numFmtId="0" fontId="5" fillId="3" borderId="2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" fillId="0" borderId="0" xfId="0" applyFont="1" applyFill="1" applyBorder="1"/>
    <xf numFmtId="0" fontId="0" fillId="3" borderId="2" xfId="0" applyFont="1" applyFill="1" applyBorder="1" applyAlignment="1">
      <alignment horizontal="center"/>
    </xf>
    <xf numFmtId="0" fontId="7" fillId="0" borderId="0" xfId="0" applyFont="1"/>
    <xf numFmtId="0" fontId="0" fillId="0" borderId="0" xfId="0" applyFont="1"/>
    <xf numFmtId="0" fontId="1" fillId="0" borderId="7" xfId="0" applyFont="1" applyBorder="1"/>
    <xf numFmtId="0" fontId="0" fillId="0" borderId="7" xfId="0" applyFont="1" applyBorder="1"/>
    <xf numFmtId="0" fontId="0" fillId="3" borderId="1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0" fontId="0" fillId="0" borderId="7" xfId="0" applyFont="1" applyFill="1" applyBorder="1"/>
    <xf numFmtId="3" fontId="1" fillId="0" borderId="0" xfId="0" applyNumberFormat="1" applyFont="1" applyFill="1" applyBorder="1" applyAlignment="1"/>
    <xf numFmtId="3" fontId="1" fillId="0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6" fillId="0" borderId="0" xfId="0" applyFont="1"/>
    <xf numFmtId="3" fontId="0" fillId="3" borderId="10" xfId="0" applyNumberFormat="1" applyFill="1" applyBorder="1"/>
    <xf numFmtId="2" fontId="0" fillId="3" borderId="1" xfId="0" applyNumberFormat="1" applyFill="1" applyBorder="1"/>
    <xf numFmtId="3" fontId="0" fillId="0" borderId="0" xfId="0" applyNumberFormat="1" applyFill="1"/>
    <xf numFmtId="0" fontId="0" fillId="0" borderId="0" xfId="0" applyFont="1" applyFill="1" applyBorder="1" applyAlignment="1">
      <alignment wrapText="1"/>
    </xf>
    <xf numFmtId="0" fontId="0" fillId="0" borderId="6" xfId="0" applyFill="1" applyBorder="1"/>
    <xf numFmtId="0" fontId="8" fillId="0" borderId="0" xfId="0" applyFont="1" applyFill="1" applyProtection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64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wrapText="1"/>
    </xf>
    <xf numFmtId="164" fontId="9" fillId="5" borderId="1" xfId="0" applyNumberFormat="1" applyFont="1" applyFill="1" applyBorder="1" applyAlignment="1">
      <alignment horizontal="center"/>
    </xf>
    <xf numFmtId="9" fontId="9" fillId="5" borderId="1" xfId="0" applyNumberFormat="1" applyFont="1" applyFill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0" fillId="6" borderId="0" xfId="0" applyFill="1"/>
    <xf numFmtId="3" fontId="0" fillId="0" borderId="0" xfId="0" applyNumberFormat="1" applyBorder="1"/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1" fontId="0" fillId="3" borderId="1" xfId="0" applyNumberFormat="1" applyFill="1" applyBorder="1" applyAlignment="1">
      <alignment horizontal="center"/>
    </xf>
    <xf numFmtId="0" fontId="6" fillId="0" borderId="0" xfId="0" applyFont="1" applyFill="1"/>
    <xf numFmtId="3" fontId="6" fillId="0" borderId="0" xfId="0" applyNumberFormat="1" applyFont="1" applyFill="1"/>
    <xf numFmtId="3" fontId="1" fillId="0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Font="1" applyAlignment="1">
      <alignment wrapText="1"/>
    </xf>
    <xf numFmtId="0" fontId="14" fillId="6" borderId="0" xfId="0" applyFont="1" applyFill="1"/>
    <xf numFmtId="0" fontId="13" fillId="0" borderId="0" xfId="0" applyFont="1" applyFill="1"/>
    <xf numFmtId="0" fontId="14" fillId="0" borderId="0" xfId="0" applyFont="1" applyFill="1"/>
    <xf numFmtId="0" fontId="0" fillId="0" borderId="0" xfId="0" applyFont="1" applyFill="1"/>
    <xf numFmtId="0" fontId="15" fillId="0" borderId="0" xfId="0" applyFont="1"/>
    <xf numFmtId="2" fontId="0" fillId="5" borderId="1" xfId="0" applyNumberForma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0" fillId="0" borderId="0" xfId="0" applyAlignment="1">
      <alignment horizontal="left"/>
    </xf>
    <xf numFmtId="0" fontId="0" fillId="8" borderId="2" xfId="0" applyFont="1" applyFill="1" applyBorder="1"/>
    <xf numFmtId="0" fontId="0" fillId="7" borderId="1" xfId="0" applyFill="1" applyBorder="1"/>
    <xf numFmtId="0" fontId="0" fillId="3" borderId="1" xfId="0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3" fontId="0" fillId="8" borderId="1" xfId="0" applyNumberFormat="1" applyFont="1" applyFill="1" applyBorder="1"/>
    <xf numFmtId="0" fontId="0" fillId="8" borderId="3" xfId="0" applyFont="1" applyFill="1" applyBorder="1"/>
    <xf numFmtId="3" fontId="0" fillId="8" borderId="1" xfId="0" applyNumberFormat="1" applyFont="1" applyFill="1" applyBorder="1" applyAlignment="1"/>
    <xf numFmtId="0" fontId="1" fillId="9" borderId="2" xfId="0" applyFont="1" applyFill="1" applyBorder="1"/>
    <xf numFmtId="3" fontId="1" fillId="9" borderId="1" xfId="0" applyNumberFormat="1" applyFont="1" applyFill="1" applyBorder="1" applyAlignment="1">
      <alignment horizontal="center"/>
    </xf>
    <xf numFmtId="3" fontId="0" fillId="7" borderId="1" xfId="0" applyNumberFormat="1" applyFill="1" applyBorder="1"/>
    <xf numFmtId="0" fontId="0" fillId="7" borderId="1" xfId="0" applyFill="1" applyBorder="1" applyAlignment="1">
      <alignment wrapText="1"/>
    </xf>
    <xf numFmtId="9" fontId="0" fillId="7" borderId="1" xfId="0" applyNumberFormat="1" applyFill="1" applyBorder="1"/>
    <xf numFmtId="0" fontId="1" fillId="7" borderId="1" xfId="0" applyFont="1" applyFill="1" applyBorder="1"/>
    <xf numFmtId="9" fontId="1" fillId="7" borderId="1" xfId="0" applyNumberFormat="1" applyFont="1" applyFill="1" applyBorder="1"/>
    <xf numFmtId="0" fontId="8" fillId="8" borderId="0" xfId="0" applyFont="1" applyFill="1" applyProtection="1"/>
    <xf numFmtId="0" fontId="0" fillId="8" borderId="0" xfId="0" applyFill="1"/>
    <xf numFmtId="0" fontId="8" fillId="6" borderId="0" xfId="0" applyFont="1" applyFill="1" applyProtection="1"/>
    <xf numFmtId="0" fontId="0" fillId="6" borderId="0" xfId="0" applyFill="1" applyProtection="1"/>
    <xf numFmtId="0" fontId="2" fillId="0" borderId="0" xfId="0" applyFont="1" applyFill="1" applyProtection="1"/>
    <xf numFmtId="0" fontId="18" fillId="0" borderId="0" xfId="0" applyFont="1" applyFill="1" applyProtection="1"/>
    <xf numFmtId="0" fontId="0" fillId="0" borderId="1" xfId="0" applyFill="1" applyBorder="1" applyProtection="1"/>
    <xf numFmtId="0" fontId="19" fillId="11" borderId="1" xfId="0" applyFont="1" applyFill="1" applyBorder="1" applyAlignment="1" applyProtection="1">
      <alignment wrapText="1"/>
    </xf>
    <xf numFmtId="0" fontId="19" fillId="0" borderId="1" xfId="0" applyFont="1" applyFill="1" applyBorder="1" applyAlignment="1" applyProtection="1">
      <alignment wrapText="1"/>
    </xf>
    <xf numFmtId="0" fontId="19" fillId="11" borderId="1" xfId="0" applyFont="1" applyFill="1" applyBorder="1" applyProtection="1"/>
    <xf numFmtId="0" fontId="19" fillId="0" borderId="1" xfId="0" applyFont="1" applyFill="1" applyBorder="1" applyProtection="1"/>
    <xf numFmtId="3" fontId="0" fillId="11" borderId="1" xfId="0" applyNumberFormat="1" applyFill="1" applyBorder="1" applyProtection="1"/>
    <xf numFmtId="164" fontId="0" fillId="0" borderId="1" xfId="0" applyNumberFormat="1" applyFill="1" applyBorder="1" applyProtection="1"/>
    <xf numFmtId="3" fontId="0" fillId="11" borderId="1" xfId="0" applyNumberFormat="1" applyFont="1" applyFill="1" applyBorder="1" applyProtection="1"/>
    <xf numFmtId="165" fontId="0" fillId="0" borderId="1" xfId="0" applyNumberFormat="1" applyFont="1" applyFill="1" applyBorder="1" applyProtection="1"/>
    <xf numFmtId="165" fontId="0" fillId="0" borderId="1" xfId="0" applyNumberFormat="1" applyFill="1" applyBorder="1" applyProtection="1"/>
    <xf numFmtId="3" fontId="0" fillId="0" borderId="1" xfId="0" applyNumberFormat="1" applyFill="1" applyBorder="1" applyProtection="1"/>
    <xf numFmtId="0" fontId="0" fillId="0" borderId="6" xfId="0" applyFill="1" applyBorder="1" applyProtection="1"/>
    <xf numFmtId="3" fontId="0" fillId="0" borderId="6" xfId="0" applyNumberFormat="1" applyFill="1" applyBorder="1" applyProtection="1"/>
    <xf numFmtId="165" fontId="0" fillId="0" borderId="6" xfId="0" applyNumberFormat="1" applyFill="1" applyBorder="1" applyProtection="1"/>
    <xf numFmtId="0" fontId="0" fillId="0" borderId="0" xfId="0" applyFill="1" applyBorder="1" applyProtection="1"/>
    <xf numFmtId="0" fontId="19" fillId="0" borderId="0" xfId="0" applyFont="1" applyFill="1" applyBorder="1" applyProtection="1"/>
    <xf numFmtId="0" fontId="1" fillId="11" borderId="1" xfId="0" applyFont="1" applyFill="1" applyBorder="1" applyProtection="1"/>
    <xf numFmtId="3" fontId="1" fillId="11" borderId="1" xfId="0" applyNumberFormat="1" applyFont="1" applyFill="1" applyBorder="1" applyProtection="1"/>
    <xf numFmtId="165" fontId="0" fillId="11" borderId="1" xfId="0" applyNumberFormat="1" applyFill="1" applyBorder="1" applyProtection="1"/>
    <xf numFmtId="0" fontId="0" fillId="11" borderId="1" xfId="0" applyFill="1" applyBorder="1" applyProtection="1"/>
    <xf numFmtId="165" fontId="1" fillId="11" borderId="1" xfId="0" applyNumberFormat="1" applyFont="1" applyFill="1" applyBorder="1" applyProtection="1"/>
    <xf numFmtId="0" fontId="1" fillId="12" borderId="1" xfId="0" applyFont="1" applyFill="1" applyBorder="1" applyProtection="1"/>
    <xf numFmtId="3" fontId="1" fillId="12" borderId="1" xfId="0" applyNumberFormat="1" applyFont="1" applyFill="1" applyBorder="1" applyProtection="1"/>
    <xf numFmtId="165" fontId="0" fillId="12" borderId="1" xfId="0" applyNumberFormat="1" applyFill="1" applyBorder="1" applyProtection="1"/>
    <xf numFmtId="165" fontId="1" fillId="12" borderId="1" xfId="0" applyNumberFormat="1" applyFont="1" applyFill="1" applyBorder="1" applyProtection="1"/>
    <xf numFmtId="0" fontId="0" fillId="13" borderId="1" xfId="0" applyFill="1" applyBorder="1" applyProtection="1"/>
    <xf numFmtId="3" fontId="0" fillId="13" borderId="1" xfId="0" applyNumberFormat="1" applyFill="1" applyBorder="1" applyProtection="1"/>
    <xf numFmtId="165" fontId="0" fillId="13" borderId="1" xfId="0" applyNumberFormat="1" applyFill="1" applyBorder="1" applyProtection="1"/>
    <xf numFmtId="0" fontId="0" fillId="13" borderId="1" xfId="0" applyFont="1" applyFill="1" applyBorder="1" applyProtection="1"/>
    <xf numFmtId="0" fontId="0" fillId="0" borderId="1" xfId="0" applyFont="1" applyFill="1" applyBorder="1" applyProtection="1"/>
    <xf numFmtId="3" fontId="0" fillId="0" borderId="0" xfId="0" applyNumberFormat="1" applyFill="1" applyProtection="1"/>
    <xf numFmtId="0" fontId="1" fillId="0" borderId="1" xfId="0" applyFont="1" applyFill="1" applyBorder="1"/>
    <xf numFmtId="3" fontId="0" fillId="10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10" borderId="2" xfId="0" applyFont="1" applyFill="1" applyBorder="1"/>
    <xf numFmtId="3" fontId="1" fillId="9" borderId="1" xfId="0" applyNumberFormat="1" applyFont="1" applyFill="1" applyBorder="1" applyAlignment="1">
      <alignment horizontal="right"/>
    </xf>
    <xf numFmtId="0" fontId="0" fillId="8" borderId="2" xfId="0" applyFill="1" applyBorder="1" applyAlignment="1"/>
    <xf numFmtId="0" fontId="0" fillId="0" borderId="6" xfId="0" applyFont="1" applyFill="1" applyBorder="1"/>
    <xf numFmtId="3" fontId="0" fillId="0" borderId="6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0" fontId="0" fillId="0" borderId="0" xfId="0" applyBorder="1" applyAlignment="1">
      <alignment wrapText="1"/>
    </xf>
    <xf numFmtId="1" fontId="0" fillId="9" borderId="1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10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/>
    <xf numFmtId="0" fontId="1" fillId="8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4" fillId="9" borderId="0" xfId="0" applyFont="1" applyFill="1"/>
    <xf numFmtId="0" fontId="0" fillId="9" borderId="0" xfId="0" applyFill="1"/>
    <xf numFmtId="0" fontId="0" fillId="0" borderId="0" xfId="0" applyFont="1" applyBorder="1"/>
    <xf numFmtId="2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3" fontId="0" fillId="8" borderId="1" xfId="0" applyNumberFormat="1" applyFill="1" applyBorder="1" applyAlignment="1"/>
    <xf numFmtId="3" fontId="0" fillId="8" borderId="1" xfId="0" applyNumberFormat="1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7" borderId="1" xfId="0" applyFont="1" applyFill="1" applyBorder="1"/>
    <xf numFmtId="0" fontId="0" fillId="7" borderId="1" xfId="0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0" fontId="0" fillId="7" borderId="2" xfId="0" applyFont="1" applyFill="1" applyBorder="1" applyAlignment="1">
      <alignment horizontal="left"/>
    </xf>
    <xf numFmtId="0" fontId="0" fillId="7" borderId="4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164" fontId="0" fillId="7" borderId="2" xfId="0" applyNumberFormat="1" applyFont="1" applyFill="1" applyBorder="1" applyAlignment="1">
      <alignment horizontal="center"/>
    </xf>
    <xf numFmtId="0" fontId="20" fillId="9" borderId="0" xfId="0" applyFont="1" applyFill="1"/>
    <xf numFmtId="0" fontId="11" fillId="0" borderId="0" xfId="0" applyFont="1" applyFill="1" applyBorder="1"/>
    <xf numFmtId="0" fontId="1" fillId="9" borderId="1" xfId="0" applyFont="1" applyFill="1" applyBorder="1" applyAlignment="1">
      <alignment horizontal="center"/>
    </xf>
    <xf numFmtId="0" fontId="0" fillId="8" borderId="2" xfId="0" applyFont="1" applyFill="1" applyBorder="1" applyAlignment="1"/>
    <xf numFmtId="0" fontId="0" fillId="8" borderId="3" xfId="0" applyFont="1" applyFill="1" applyBorder="1" applyAlignment="1"/>
    <xf numFmtId="0" fontId="0" fillId="0" borderId="0" xfId="0" applyFill="1" applyBorder="1" applyAlignment="1">
      <alignment wrapText="1"/>
    </xf>
    <xf numFmtId="0" fontId="2" fillId="9" borderId="0" xfId="0" applyFont="1" applyFill="1"/>
    <xf numFmtId="3" fontId="0" fillId="10" borderId="1" xfId="0" applyNumberFormat="1" applyFont="1" applyFill="1" applyBorder="1" applyAlignment="1">
      <alignment horizontal="center"/>
    </xf>
    <xf numFmtId="0" fontId="16" fillId="0" borderId="0" xfId="0" applyFont="1"/>
    <xf numFmtId="3" fontId="16" fillId="0" borderId="0" xfId="0" applyNumberFormat="1" applyFont="1"/>
    <xf numFmtId="3" fontId="0" fillId="1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0" borderId="5" xfId="0" applyBorder="1"/>
    <xf numFmtId="0" fontId="0" fillId="10" borderId="1" xfId="0" applyFont="1" applyFill="1" applyBorder="1"/>
    <xf numFmtId="3" fontId="0" fillId="3" borderId="1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0" fontId="0" fillId="10" borderId="3" xfId="0" applyFont="1" applyFill="1" applyBorder="1"/>
    <xf numFmtId="0" fontId="0" fillId="10" borderId="4" xfId="0" applyFont="1" applyFill="1" applyBorder="1"/>
    <xf numFmtId="0" fontId="0" fillId="10" borderId="1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6" fillId="7" borderId="2" xfId="0" applyFont="1" applyFill="1" applyBorder="1"/>
    <xf numFmtId="0" fontId="16" fillId="7" borderId="3" xfId="0" applyFont="1" applyFill="1" applyBorder="1"/>
    <xf numFmtId="0" fontId="16" fillId="7" borderId="0" xfId="0" applyFont="1" applyFill="1"/>
    <xf numFmtId="3" fontId="16" fillId="7" borderId="1" xfId="0" applyNumberFormat="1" applyFont="1" applyFill="1" applyBorder="1" applyAlignment="1"/>
    <xf numFmtId="3" fontId="0" fillId="7" borderId="1" xfId="0" applyNumberFormat="1" applyFont="1" applyFill="1" applyBorder="1"/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6" fillId="0" borderId="0" xfId="0" applyNumberFormat="1" applyFont="1" applyFill="1" applyAlignment="1">
      <alignment horizontal="left"/>
    </xf>
    <xf numFmtId="0" fontId="6" fillId="8" borderId="3" xfId="0" applyFont="1" applyFill="1" applyBorder="1"/>
    <xf numFmtId="0" fontId="0" fillId="0" borderId="0" xfId="0" applyFill="1" applyBorder="1" applyAlignment="1">
      <alignment horizontal="left" wrapText="1"/>
    </xf>
    <xf numFmtId="0" fontId="17" fillId="0" borderId="0" xfId="0" applyFont="1" applyFill="1" applyBorder="1"/>
    <xf numFmtId="0" fontId="16" fillId="0" borderId="0" xfId="0" applyFont="1" applyFill="1"/>
    <xf numFmtId="0" fontId="16" fillId="8" borderId="2" xfId="0" applyFont="1" applyFill="1" applyBorder="1"/>
    <xf numFmtId="3" fontId="16" fillId="8" borderId="1" xfId="0" applyNumberFormat="1" applyFont="1" applyFill="1" applyBorder="1" applyAlignment="1">
      <alignment horizontal="center"/>
    </xf>
    <xf numFmtId="3" fontId="0" fillId="10" borderId="1" xfId="0" applyNumberFormat="1" applyFont="1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/>
    <xf numFmtId="0" fontId="0" fillId="3" borderId="1" xfId="0" applyFont="1" applyFill="1" applyBorder="1" applyAlignment="1"/>
    <xf numFmtId="4" fontId="0" fillId="3" borderId="1" xfId="0" applyNumberFormat="1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6" xfId="0" applyFont="1" applyFill="1" applyBorder="1"/>
    <xf numFmtId="9" fontId="0" fillId="10" borderId="1" xfId="0" applyNumberFormat="1" applyFont="1" applyFill="1" applyBorder="1" applyAlignment="1">
      <alignment horizontal="right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0" fontId="0" fillId="9" borderId="2" xfId="0" applyFont="1" applyFill="1" applyBorder="1"/>
    <xf numFmtId="0" fontId="0" fillId="9" borderId="3" xfId="0" applyFont="1" applyFill="1" applyBorder="1"/>
    <xf numFmtId="1" fontId="0" fillId="3" borderId="4" xfId="0" applyNumberFormat="1" applyFont="1" applyFill="1" applyBorder="1" applyAlignment="1">
      <alignment horizontal="center"/>
    </xf>
    <xf numFmtId="3" fontId="0" fillId="3" borderId="2" xfId="0" applyNumberFormat="1" applyFont="1" applyFill="1" applyBorder="1"/>
    <xf numFmtId="1" fontId="0" fillId="10" borderId="3" xfId="0" applyNumberFormat="1" applyFont="1" applyFill="1" applyBorder="1" applyAlignment="1">
      <alignment horizontal="center"/>
    </xf>
    <xf numFmtId="1" fontId="0" fillId="10" borderId="4" xfId="0" applyNumberFormat="1" applyFont="1" applyFill="1" applyBorder="1" applyAlignment="1">
      <alignment horizontal="center"/>
    </xf>
    <xf numFmtId="1" fontId="0" fillId="0" borderId="0" xfId="0" applyNumberFormat="1" applyFont="1" applyBorder="1"/>
    <xf numFmtId="1" fontId="0" fillId="3" borderId="1" xfId="0" applyNumberFormat="1" applyFont="1" applyFill="1" applyBorder="1"/>
    <xf numFmtId="3" fontId="0" fillId="9" borderId="1" xfId="0" applyNumberFormat="1" applyFont="1" applyFill="1" applyBorder="1"/>
    <xf numFmtId="3" fontId="0" fillId="0" borderId="7" xfId="0" applyNumberFormat="1" applyFont="1" applyFill="1" applyBorder="1"/>
    <xf numFmtId="0" fontId="21" fillId="7" borderId="2" xfId="0" applyFont="1" applyFill="1" applyBorder="1" applyAlignment="1"/>
    <xf numFmtId="0" fontId="21" fillId="7" borderId="3" xfId="0" applyFont="1" applyFill="1" applyBorder="1" applyAlignment="1"/>
    <xf numFmtId="3" fontId="0" fillId="14" borderId="1" xfId="0" applyNumberFormat="1" applyFont="1" applyFill="1" applyBorder="1"/>
    <xf numFmtId="0" fontId="0" fillId="8" borderId="1" xfId="0" applyFont="1" applyFill="1" applyBorder="1"/>
    <xf numFmtId="0" fontId="0" fillId="9" borderId="1" xfId="0" applyFont="1" applyFill="1" applyBorder="1"/>
    <xf numFmtId="3" fontId="0" fillId="10" borderId="2" xfId="0" applyNumberFormat="1" applyFont="1" applyFill="1" applyBorder="1"/>
    <xf numFmtId="0" fontId="0" fillId="10" borderId="3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wrapText="1"/>
    </xf>
    <xf numFmtId="3" fontId="0" fillId="0" borderId="0" xfId="0" applyNumberFormat="1" applyFill="1" applyBorder="1" applyProtection="1"/>
    <xf numFmtId="0" fontId="0" fillId="14" borderId="1" xfId="0" applyFill="1" applyBorder="1"/>
    <xf numFmtId="3" fontId="0" fillId="14" borderId="1" xfId="0" applyNumberFormat="1" applyFill="1" applyBorder="1"/>
    <xf numFmtId="3" fontId="0" fillId="0" borderId="0" xfId="0" applyNumberFormat="1" applyFill="1" applyBorder="1" applyAlignment="1"/>
    <xf numFmtId="0" fontId="0" fillId="8" borderId="2" xfId="0" applyFill="1" applyBorder="1"/>
    <xf numFmtId="0" fontId="0" fillId="8" borderId="3" xfId="0" applyFill="1" applyBorder="1"/>
    <xf numFmtId="3" fontId="0" fillId="8" borderId="4" xfId="0" applyNumberForma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3" fontId="0" fillId="9" borderId="8" xfId="0" applyNumberFormat="1" applyFill="1" applyBorder="1" applyAlignment="1">
      <alignment horizontal="center"/>
    </xf>
    <xf numFmtId="0" fontId="1" fillId="14" borderId="1" xfId="0" applyFont="1" applyFill="1" applyBorder="1"/>
    <xf numFmtId="3" fontId="1" fillId="14" borderId="1" xfId="0" applyNumberFormat="1" applyFont="1" applyFill="1" applyBorder="1"/>
    <xf numFmtId="9" fontId="0" fillId="7" borderId="1" xfId="0" applyNumberFormat="1" applyFill="1" applyBorder="1" applyAlignment="1">
      <alignment horizontal="center"/>
    </xf>
    <xf numFmtId="3" fontId="1" fillId="1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0" fillId="11" borderId="0" xfId="0" applyFill="1"/>
    <xf numFmtId="0" fontId="4" fillId="0" borderId="0" xfId="0" applyFont="1" applyFill="1"/>
    <xf numFmtId="0" fontId="21" fillId="0" borderId="0" xfId="0" applyFont="1" applyFill="1"/>
    <xf numFmtId="0" fontId="4" fillId="11" borderId="0" xfId="0" applyFont="1" applyFill="1"/>
    <xf numFmtId="0" fontId="21" fillId="11" borderId="0" xfId="0" applyFont="1" applyFill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9" borderId="0" xfId="0" applyFont="1" applyFill="1"/>
    <xf numFmtId="0" fontId="22" fillId="9" borderId="0" xfId="0" applyFont="1" applyFill="1"/>
    <xf numFmtId="0" fontId="1" fillId="9" borderId="0" xfId="0" applyFont="1" applyFill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3" fontId="0" fillId="0" borderId="5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2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0" fontId="0" fillId="3" borderId="9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14" borderId="2" xfId="0" applyFont="1" applyFill="1" applyBorder="1" applyAlignment="1">
      <alignment horizontal="left"/>
    </xf>
    <xf numFmtId="0" fontId="0" fillId="14" borderId="3" xfId="0" applyFont="1" applyFill="1" applyBorder="1" applyAlignment="1">
      <alignment horizontal="left"/>
    </xf>
    <xf numFmtId="0" fontId="0" fillId="14" borderId="4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0" fillId="7" borderId="3" xfId="0" applyFont="1" applyFill="1" applyBorder="1" applyAlignment="1">
      <alignment horizontal="left"/>
    </xf>
    <xf numFmtId="0" fontId="0" fillId="7" borderId="4" xfId="0" applyFont="1" applyFill="1" applyBorder="1" applyAlignment="1">
      <alignment horizontal="left"/>
    </xf>
    <xf numFmtId="0" fontId="0" fillId="8" borderId="2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7" borderId="2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8" borderId="1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left"/>
    </xf>
    <xf numFmtId="0" fontId="0" fillId="10" borderId="3" xfId="0" applyFont="1" applyFill="1" applyBorder="1" applyAlignment="1">
      <alignment horizontal="left"/>
    </xf>
    <xf numFmtId="0" fontId="0" fillId="10" borderId="4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9" borderId="2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8" borderId="11" xfId="0" applyFill="1" applyBorder="1" applyAlignment="1">
      <alignment horizontal="left" wrapText="1"/>
    </xf>
    <xf numFmtId="0" fontId="0" fillId="8" borderId="6" xfId="0" applyFill="1" applyBorder="1" applyAlignment="1">
      <alignment horizontal="left" wrapText="1"/>
    </xf>
    <xf numFmtId="0" fontId="0" fillId="8" borderId="9" xfId="0" applyFill="1" applyBorder="1" applyAlignment="1">
      <alignment horizontal="left" wrapText="1"/>
    </xf>
    <xf numFmtId="0" fontId="0" fillId="8" borderId="7" xfId="0" applyFill="1" applyBorder="1" applyAlignment="1">
      <alignment horizontal="left" wrapText="1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5" borderId="2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9" fontId="0" fillId="5" borderId="2" xfId="0" applyNumberFormat="1" applyFill="1" applyBorder="1" applyAlignment="1">
      <alignment horizontal="center"/>
    </xf>
    <xf numFmtId="9" fontId="0" fillId="5" borderId="4" xfId="0" applyNumberForma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9" fontId="0" fillId="5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0" fillId="10" borderId="1" xfId="0" applyFont="1" applyFill="1" applyBorder="1" applyAlignment="1"/>
    <xf numFmtId="9" fontId="0" fillId="1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opLeftCell="A40" zoomScaleNormal="100" workbookViewId="0">
      <selection activeCell="F33" sqref="F33"/>
    </sheetView>
  </sheetViews>
  <sheetFormatPr baseColWidth="10" defaultRowHeight="15"/>
  <cols>
    <col min="1" max="1" width="48.85546875" customWidth="1"/>
    <col min="2" max="2" width="10.7109375" customWidth="1"/>
    <col min="3" max="3" width="12.5703125" customWidth="1"/>
    <col min="4" max="4" width="13.140625" customWidth="1"/>
    <col min="5" max="6" width="19" customWidth="1"/>
    <col min="7" max="7" width="17.7109375" customWidth="1"/>
    <col min="8" max="8" width="14.140625" customWidth="1"/>
    <col min="9" max="9" width="16.7109375" customWidth="1"/>
    <col min="10" max="10" width="13" customWidth="1"/>
    <col min="11" max="11" width="8.7109375" customWidth="1"/>
  </cols>
  <sheetData>
    <row r="1" spans="1:12" ht="18.75">
      <c r="A1" s="159" t="s">
        <v>120</v>
      </c>
      <c r="B1" s="159"/>
      <c r="C1" s="159"/>
      <c r="D1" s="159"/>
      <c r="E1" s="159"/>
      <c r="F1" s="159"/>
      <c r="G1" s="160"/>
      <c r="H1" s="160"/>
      <c r="I1" s="160"/>
      <c r="J1" s="160"/>
    </row>
    <row r="2" spans="1:12" ht="18.75">
      <c r="A2" s="183" t="s">
        <v>121</v>
      </c>
      <c r="B2" s="159"/>
      <c r="C2" s="159"/>
      <c r="D2" s="159"/>
      <c r="E2" s="159"/>
      <c r="F2" s="159"/>
      <c r="G2" s="160"/>
      <c r="H2" s="160"/>
      <c r="I2" s="160"/>
      <c r="J2" s="160"/>
    </row>
    <row r="3" spans="1:12">
      <c r="A3" s="31"/>
      <c r="B3" s="31"/>
      <c r="C3" s="32"/>
      <c r="D3" s="32"/>
      <c r="E3" s="1"/>
      <c r="F3" s="1"/>
    </row>
    <row r="4" spans="1:12" ht="15.75" customHeight="1">
      <c r="A4" s="276" t="s">
        <v>192</v>
      </c>
      <c r="B4" s="276"/>
      <c r="C4" s="276"/>
      <c r="D4" s="276"/>
      <c r="E4" s="276"/>
      <c r="F4" s="276"/>
      <c r="G4" s="276"/>
    </row>
    <row r="5" spans="1:12" ht="15.75" customHeight="1">
      <c r="A5" s="276" t="s">
        <v>191</v>
      </c>
      <c r="B5" s="276"/>
      <c r="C5" s="276"/>
      <c r="D5" s="276"/>
      <c r="E5" s="276"/>
      <c r="F5" s="276"/>
      <c r="G5" s="276"/>
      <c r="H5" s="276"/>
      <c r="I5" s="276"/>
    </row>
    <row r="6" spans="1:12">
      <c r="A6" s="158"/>
      <c r="B6" s="158"/>
      <c r="C6" s="158"/>
      <c r="D6" s="158"/>
      <c r="E6" s="158"/>
      <c r="F6" s="158"/>
      <c r="G6" s="165"/>
    </row>
    <row r="7" spans="1:12" ht="18.75">
      <c r="A7" s="159" t="s">
        <v>125</v>
      </c>
      <c r="B7" s="1"/>
      <c r="C7" s="1"/>
      <c r="D7" s="1"/>
      <c r="E7" s="1"/>
      <c r="F7" s="1"/>
    </row>
    <row r="8" spans="1:12" ht="18.75">
      <c r="A8" s="6"/>
      <c r="B8" s="1"/>
      <c r="C8" s="1"/>
      <c r="D8" s="1"/>
      <c r="E8" s="1"/>
      <c r="F8" s="1"/>
    </row>
    <row r="9" spans="1:12" ht="23.25" customHeight="1">
      <c r="A9" s="290" t="s">
        <v>181</v>
      </c>
      <c r="B9" s="290"/>
      <c r="C9" s="290"/>
      <c r="D9" s="290"/>
      <c r="E9" s="80"/>
      <c r="F9" s="80"/>
      <c r="G9" s="27" t="s">
        <v>136</v>
      </c>
      <c r="H9" s="28"/>
    </row>
    <row r="10" spans="1:12" ht="31.5" customHeight="1">
      <c r="A10" s="12"/>
      <c r="B10" s="92" t="s">
        <v>40</v>
      </c>
      <c r="C10" s="163" t="s">
        <v>44</v>
      </c>
      <c r="D10" s="163" t="s">
        <v>45</v>
      </c>
      <c r="E10" s="164" t="s">
        <v>46</v>
      </c>
      <c r="F10" s="30"/>
      <c r="G10" s="169"/>
      <c r="H10" s="170" t="s">
        <v>2</v>
      </c>
      <c r="I10" s="101" t="s">
        <v>112</v>
      </c>
    </row>
    <row r="11" spans="1:12" ht="18.75" customHeight="1">
      <c r="A11" s="12" t="s">
        <v>182</v>
      </c>
      <c r="B11" s="162">
        <v>0.4</v>
      </c>
      <c r="C11" s="29"/>
      <c r="D11" s="29"/>
      <c r="E11" s="71"/>
      <c r="F11" s="30"/>
      <c r="G11" s="169" t="s">
        <v>4</v>
      </c>
      <c r="H11" s="171">
        <v>24</v>
      </c>
      <c r="I11" s="170">
        <v>1</v>
      </c>
      <c r="J11" s="161" t="s">
        <v>113</v>
      </c>
      <c r="L11" s="161"/>
    </row>
    <row r="12" spans="1:12">
      <c r="A12" s="12" t="s">
        <v>64</v>
      </c>
      <c r="B12" s="92"/>
      <c r="C12" s="40">
        <f>H11*B11</f>
        <v>9.6000000000000014</v>
      </c>
      <c r="D12" s="40">
        <f>H12*B11</f>
        <v>12.4</v>
      </c>
      <c r="E12" s="72">
        <f>(C12+D12)/2</f>
        <v>11</v>
      </c>
      <c r="F12" s="30"/>
      <c r="G12" s="169" t="s">
        <v>3</v>
      </c>
      <c r="H12" s="171">
        <v>31</v>
      </c>
      <c r="I12" s="170">
        <v>4</v>
      </c>
      <c r="J12" s="154" t="s">
        <v>114</v>
      </c>
      <c r="L12" s="154"/>
    </row>
    <row r="13" spans="1:12">
      <c r="A13" s="12" t="s">
        <v>63</v>
      </c>
      <c r="B13" s="92"/>
      <c r="C13" s="40">
        <v>1</v>
      </c>
      <c r="D13" s="40">
        <v>4</v>
      </c>
      <c r="E13" s="72">
        <f>(C13+D13)/2</f>
        <v>2.5</v>
      </c>
      <c r="F13" s="30"/>
    </row>
    <row r="14" spans="1:12">
      <c r="A14" s="145" t="s">
        <v>65</v>
      </c>
      <c r="B14" s="196"/>
      <c r="C14" s="155">
        <f>SUM(C12:C13)</f>
        <v>10.600000000000001</v>
      </c>
      <c r="D14" s="155">
        <f>SUM(D12:D13)</f>
        <v>16.399999999999999</v>
      </c>
      <c r="E14" s="155">
        <f>(C14+D14)/2</f>
        <v>13.5</v>
      </c>
      <c r="F14" s="30"/>
      <c r="G14" s="23" t="s">
        <v>137</v>
      </c>
      <c r="I14" s="1"/>
      <c r="J14" s="1"/>
      <c r="L14" s="1"/>
    </row>
    <row r="15" spans="1:12" ht="30" customHeight="1">
      <c r="A15" s="276" t="s">
        <v>122</v>
      </c>
      <c r="B15" s="276"/>
      <c r="C15" s="276"/>
      <c r="D15" s="276"/>
      <c r="E15" s="276"/>
      <c r="F15" s="276"/>
      <c r="G15" s="172"/>
      <c r="H15" s="173"/>
      <c r="I15" s="174" t="s">
        <v>40</v>
      </c>
      <c r="J15" s="175" t="s">
        <v>5</v>
      </c>
      <c r="L15" s="1"/>
    </row>
    <row r="16" spans="1:12">
      <c r="A16" s="165"/>
      <c r="B16" s="165"/>
      <c r="C16" s="165"/>
      <c r="D16" s="165"/>
      <c r="E16" s="165"/>
      <c r="F16" s="165"/>
      <c r="G16" s="172" t="s">
        <v>41</v>
      </c>
      <c r="H16" s="173"/>
      <c r="I16" s="176">
        <v>0.3</v>
      </c>
      <c r="J16" s="171">
        <v>4</v>
      </c>
      <c r="L16" s="1"/>
    </row>
    <row r="17" spans="1:13">
      <c r="A17" s="5" t="s">
        <v>153</v>
      </c>
      <c r="B17" s="1"/>
      <c r="C17" s="1"/>
      <c r="D17" s="2"/>
      <c r="E17" s="1"/>
      <c r="F17" s="26"/>
      <c r="G17" s="172" t="s">
        <v>42</v>
      </c>
      <c r="H17" s="173"/>
      <c r="I17" s="176">
        <v>0.4</v>
      </c>
      <c r="J17" s="171">
        <v>7</v>
      </c>
      <c r="L17" s="25"/>
    </row>
    <row r="18" spans="1:13">
      <c r="A18" s="12"/>
      <c r="B18" s="13"/>
      <c r="C18" s="14"/>
      <c r="D18" s="76" t="s">
        <v>68</v>
      </c>
      <c r="E18" s="26"/>
      <c r="F18" s="26"/>
      <c r="G18" s="172" t="s">
        <v>43</v>
      </c>
      <c r="H18" s="173"/>
      <c r="I18" s="176">
        <v>0.9</v>
      </c>
      <c r="J18" s="171">
        <v>7</v>
      </c>
      <c r="L18" s="1"/>
    </row>
    <row r="19" spans="1:13">
      <c r="A19" s="12" t="s">
        <v>67</v>
      </c>
      <c r="B19" s="13"/>
      <c r="C19" s="14"/>
      <c r="D19" s="41">
        <v>1017877</v>
      </c>
      <c r="E19" s="26"/>
      <c r="F19" s="26"/>
      <c r="M19" s="47"/>
    </row>
    <row r="20" spans="1:13">
      <c r="A20" s="12" t="s">
        <v>69</v>
      </c>
      <c r="B20" s="13"/>
      <c r="C20" s="14"/>
      <c r="D20" s="41">
        <v>132467</v>
      </c>
      <c r="E20" s="26"/>
      <c r="F20" s="26"/>
      <c r="M20" s="68"/>
    </row>
    <row r="21" spans="1:13">
      <c r="A21" s="12" t="s">
        <v>66</v>
      </c>
      <c r="B21" s="13"/>
      <c r="C21" s="14"/>
      <c r="D21" s="41">
        <f>SUM(D19:D20)</f>
        <v>1150344</v>
      </c>
      <c r="E21" s="26"/>
      <c r="F21" s="26"/>
      <c r="M21" s="68"/>
    </row>
    <row r="22" spans="1:13">
      <c r="A22" s="145" t="s">
        <v>115</v>
      </c>
      <c r="B22" s="194"/>
      <c r="C22" s="195"/>
      <c r="D22" s="143">
        <f>D21*0.65</f>
        <v>747723.6</v>
      </c>
      <c r="E22" s="26" t="s">
        <v>116</v>
      </c>
      <c r="F22" s="26"/>
      <c r="M22" s="69"/>
    </row>
    <row r="23" spans="1:13" ht="15.75" customHeight="1">
      <c r="A23" s="12"/>
      <c r="B23" s="13"/>
      <c r="C23" s="14"/>
      <c r="D23" s="41"/>
      <c r="E23" s="15"/>
      <c r="F23" s="26"/>
    </row>
    <row r="24" spans="1:13">
      <c r="A24" s="12" t="s">
        <v>101</v>
      </c>
      <c r="B24" s="13"/>
      <c r="C24" s="14"/>
      <c r="D24" s="41">
        <f>D22*0.3</f>
        <v>224317.08</v>
      </c>
      <c r="E24" s="26" t="s">
        <v>123</v>
      </c>
      <c r="F24" s="26"/>
    </row>
    <row r="25" spans="1:13">
      <c r="A25" s="12" t="s">
        <v>104</v>
      </c>
      <c r="B25" s="13"/>
      <c r="C25" s="14"/>
      <c r="D25" s="41">
        <f>D22*0.1*2.5</f>
        <v>186930.9</v>
      </c>
      <c r="E25" s="26" t="s">
        <v>124</v>
      </c>
      <c r="F25" s="26"/>
    </row>
    <row r="26" spans="1:13">
      <c r="A26" s="145" t="s">
        <v>102</v>
      </c>
      <c r="B26" s="194"/>
      <c r="C26" s="195"/>
      <c r="D26" s="143">
        <f>D22+D24+D25</f>
        <v>1158971.5799999998</v>
      </c>
      <c r="E26" s="26"/>
      <c r="F26" s="26"/>
    </row>
    <row r="27" spans="1:13">
      <c r="A27" s="33"/>
      <c r="B27" s="33"/>
      <c r="C27" s="33"/>
      <c r="D27" s="34"/>
      <c r="E27" s="26"/>
      <c r="F27" s="26"/>
    </row>
    <row r="28" spans="1:13" ht="15.75" customHeight="1">
      <c r="A28" s="5" t="s">
        <v>188</v>
      </c>
      <c r="B28" s="35"/>
      <c r="C28" s="35"/>
      <c r="D28" s="35"/>
      <c r="E28" s="26"/>
      <c r="F28" s="26"/>
      <c r="G28" s="4"/>
    </row>
    <row r="29" spans="1:13" ht="15.75" customHeight="1">
      <c r="A29" s="18"/>
      <c r="B29" s="39" t="s">
        <v>2</v>
      </c>
      <c r="C29" s="38" t="s">
        <v>1</v>
      </c>
      <c r="D29" s="24" t="s">
        <v>6</v>
      </c>
      <c r="E29" s="37"/>
      <c r="F29" s="36"/>
    </row>
    <row r="30" spans="1:13" ht="15.75" customHeight="1">
      <c r="A30" s="18" t="s">
        <v>144</v>
      </c>
      <c r="B30" s="41">
        <f>C14*D26</f>
        <v>12285098.748</v>
      </c>
      <c r="C30" s="41">
        <f>B30*0.8</f>
        <v>9828078.9984000009</v>
      </c>
      <c r="D30" s="42">
        <f>B30*1.2</f>
        <v>14742118.497599998</v>
      </c>
      <c r="E30" s="291" t="s">
        <v>103</v>
      </c>
      <c r="F30" s="292"/>
      <c r="G30" s="292"/>
      <c r="H30" s="292"/>
    </row>
    <row r="31" spans="1:13" ht="15.75" customHeight="1">
      <c r="A31" s="18" t="s">
        <v>145</v>
      </c>
      <c r="B31" s="41">
        <f>D14*D26</f>
        <v>19007133.911999997</v>
      </c>
      <c r="C31" s="41">
        <f>B31*0.8</f>
        <v>15205707.129599998</v>
      </c>
      <c r="D31" s="42">
        <f>B31*1.2</f>
        <v>22808560.694399994</v>
      </c>
      <c r="E31" s="291"/>
      <c r="F31" s="292"/>
      <c r="G31" s="292"/>
      <c r="H31" s="292"/>
    </row>
    <row r="32" spans="1:13">
      <c r="A32" s="191" t="s">
        <v>143</v>
      </c>
      <c r="B32" s="143">
        <f>(B30+B31)/2</f>
        <v>15646116.329999998</v>
      </c>
      <c r="C32" s="143">
        <f>B32*0.8</f>
        <v>12516893.063999999</v>
      </c>
      <c r="D32" s="143">
        <f>B32*1.2</f>
        <v>18775339.595999997</v>
      </c>
      <c r="E32" s="26"/>
      <c r="F32" s="26"/>
    </row>
    <row r="33" spans="1:11" ht="33" customHeight="1">
      <c r="A33" s="294" t="s">
        <v>142</v>
      </c>
      <c r="B33" s="295"/>
      <c r="C33" s="295"/>
      <c r="D33" s="295"/>
      <c r="E33" s="26"/>
      <c r="F33" s="26"/>
    </row>
    <row r="34" spans="1:11">
      <c r="B34" s="26"/>
      <c r="C34" s="26"/>
      <c r="D34" s="26"/>
      <c r="E34" s="26"/>
      <c r="F34" s="26"/>
    </row>
    <row r="35" spans="1:11">
      <c r="A35" s="5" t="s">
        <v>184</v>
      </c>
      <c r="B35" s="26"/>
      <c r="C35" s="26"/>
      <c r="D35" s="26"/>
      <c r="E35" s="26"/>
      <c r="F35" s="26"/>
    </row>
    <row r="36" spans="1:11" ht="45" customHeight="1">
      <c r="A36" s="287"/>
      <c r="B36" s="288"/>
      <c r="C36" s="289"/>
      <c r="D36" s="29" t="s">
        <v>183</v>
      </c>
      <c r="E36" s="26"/>
      <c r="F36" s="26"/>
    </row>
    <row r="37" spans="1:11" ht="33" customHeight="1">
      <c r="A37" s="284" t="s">
        <v>193</v>
      </c>
      <c r="B37" s="284"/>
      <c r="C37" s="284"/>
      <c r="D37" s="41">
        <f>D22*0.43</f>
        <v>321521.14799999999</v>
      </c>
      <c r="E37" s="280" t="s">
        <v>198</v>
      </c>
      <c r="F37" s="279"/>
      <c r="G37" s="279"/>
      <c r="H37" s="279"/>
      <c r="I37" s="279"/>
      <c r="J37" s="279"/>
    </row>
    <row r="38" spans="1:11" ht="29.25" customHeight="1">
      <c r="A38" s="285" t="s">
        <v>194</v>
      </c>
      <c r="B38" s="285"/>
      <c r="C38" s="286"/>
      <c r="D38" s="41">
        <f>D22*0.57*0.3</f>
        <v>127860.73559999997</v>
      </c>
      <c r="E38" s="280" t="s">
        <v>195</v>
      </c>
      <c r="F38" s="279"/>
      <c r="G38" s="279"/>
      <c r="H38" s="279"/>
      <c r="I38" s="279"/>
      <c r="J38" s="279"/>
      <c r="K38" s="279"/>
    </row>
    <row r="39" spans="1:11">
      <c r="A39" s="145" t="s">
        <v>186</v>
      </c>
      <c r="B39" s="194"/>
      <c r="C39" s="195"/>
      <c r="D39" s="143">
        <f>SUM(D37:D38)</f>
        <v>449381.88359999994</v>
      </c>
      <c r="E39" s="26" t="s">
        <v>196</v>
      </c>
      <c r="F39" s="26"/>
    </row>
    <row r="40" spans="1:11">
      <c r="A40" s="12" t="s">
        <v>167</v>
      </c>
      <c r="B40" s="13"/>
      <c r="C40" s="14"/>
      <c r="D40" s="41">
        <f>D39*0.3</f>
        <v>134814.56507999997</v>
      </c>
      <c r="E40" t="s">
        <v>168</v>
      </c>
    </row>
    <row r="41" spans="1:11">
      <c r="A41" s="145" t="s">
        <v>185</v>
      </c>
      <c r="B41" s="194"/>
      <c r="C41" s="195"/>
      <c r="D41" s="143">
        <f>SUM(D39:D40)</f>
        <v>584196.44867999991</v>
      </c>
      <c r="E41" s="30" t="s">
        <v>197</v>
      </c>
    </row>
    <row r="42" spans="1:11" s="21" customFormat="1">
      <c r="A42" s="148"/>
      <c r="B42" s="148"/>
      <c r="C42" s="148"/>
      <c r="D42" s="149"/>
      <c r="E42" s="30"/>
    </row>
    <row r="43" spans="1:11" s="21" customFormat="1">
      <c r="A43" s="88" t="s">
        <v>187</v>
      </c>
      <c r="B43" s="35"/>
      <c r="C43" s="35"/>
      <c r="D43" s="150"/>
      <c r="E43" s="30"/>
    </row>
    <row r="44" spans="1:11">
      <c r="A44" s="12"/>
      <c r="B44" s="192" t="s">
        <v>2</v>
      </c>
      <c r="C44" s="293" t="s">
        <v>7</v>
      </c>
      <c r="D44" s="287"/>
      <c r="E44" s="281"/>
      <c r="F44" s="282"/>
    </row>
    <row r="45" spans="1:11">
      <c r="A45" s="18" t="s">
        <v>144</v>
      </c>
      <c r="B45" s="41">
        <f>C14*D41</f>
        <v>6192482.3560079997</v>
      </c>
      <c r="C45" s="192">
        <f>B45*0.8</f>
        <v>4953985.8848064002</v>
      </c>
      <c r="D45" s="193">
        <f>B45*1.2</f>
        <v>7430978.8272095993</v>
      </c>
      <c r="E45" s="189"/>
      <c r="F45" s="188"/>
    </row>
    <row r="46" spans="1:11">
      <c r="A46" s="18" t="s">
        <v>145</v>
      </c>
      <c r="B46" s="41">
        <f>D14*D41</f>
        <v>9580821.7583519984</v>
      </c>
      <c r="C46" s="192">
        <f t="shared" ref="C46:C47" si="0">B46*0.8</f>
        <v>7664657.4066815991</v>
      </c>
      <c r="D46" s="193">
        <f t="shared" ref="D46:D47" si="1">B46*1.2</f>
        <v>11496986.110022398</v>
      </c>
      <c r="E46" s="189"/>
      <c r="F46" s="188"/>
    </row>
    <row r="47" spans="1:11">
      <c r="A47" s="191" t="s">
        <v>189</v>
      </c>
      <c r="B47" s="143">
        <f>(B45+B46)/2</f>
        <v>7886652.0571799986</v>
      </c>
      <c r="C47" s="184">
        <f t="shared" si="0"/>
        <v>6309321.6457439996</v>
      </c>
      <c r="D47" s="187">
        <f t="shared" si="1"/>
        <v>9463982.4686159976</v>
      </c>
      <c r="E47" s="37"/>
      <c r="F47" s="75"/>
    </row>
    <row r="48" spans="1:11" ht="15" customHeight="1">
      <c r="A48" s="8"/>
      <c r="B48" s="8"/>
      <c r="C48" s="8"/>
      <c r="D48" s="10"/>
      <c r="E48" s="10"/>
      <c r="F48" s="9"/>
    </row>
    <row r="49" spans="1:11" ht="15" customHeight="1">
      <c r="A49" s="1" t="s">
        <v>154</v>
      </c>
      <c r="B49" s="8"/>
      <c r="C49" s="8"/>
      <c r="D49" s="10"/>
      <c r="E49" s="10"/>
      <c r="F49" s="9"/>
    </row>
    <row r="50" spans="1:11" ht="15" customHeight="1">
      <c r="A50" s="147"/>
      <c r="B50" s="157" t="s">
        <v>2</v>
      </c>
      <c r="C50" s="283" t="s">
        <v>7</v>
      </c>
      <c r="D50" s="283"/>
      <c r="E50" s="190"/>
      <c r="F50" s="17"/>
      <c r="G50" s="17"/>
      <c r="K50" s="144"/>
    </row>
    <row r="51" spans="1:11" ht="15" customHeight="1">
      <c r="A51" s="147" t="s">
        <v>139</v>
      </c>
      <c r="B51" s="166">
        <f>B30-B45</f>
        <v>6092616.3919919999</v>
      </c>
      <c r="C51" s="167">
        <f t="shared" ref="C51:C52" si="2">B51*0.8</f>
        <v>4874093.1135935998</v>
      </c>
      <c r="D51" s="167">
        <f t="shared" ref="D51:D52" si="3">B51*1.2</f>
        <v>7311139.6703904001</v>
      </c>
      <c r="E51" s="190"/>
      <c r="F51" s="17"/>
      <c r="G51" s="17"/>
      <c r="K51" s="144"/>
    </row>
    <row r="52" spans="1:11" ht="15" customHeight="1">
      <c r="A52" s="147" t="s">
        <v>140</v>
      </c>
      <c r="B52" s="166">
        <f>B31-B46</f>
        <v>9426312.1536479983</v>
      </c>
      <c r="C52" s="167">
        <f t="shared" si="2"/>
        <v>7541049.7229183987</v>
      </c>
      <c r="D52" s="167">
        <f t="shared" si="3"/>
        <v>11311574.584377598</v>
      </c>
      <c r="E52" s="190"/>
      <c r="F52" s="17"/>
      <c r="G52" s="17"/>
      <c r="K52" s="144"/>
    </row>
    <row r="53" spans="1:11">
      <c r="A53" s="98" t="s">
        <v>141</v>
      </c>
      <c r="B53" s="146">
        <f>B32-B47</f>
        <v>7759464.2728199996</v>
      </c>
      <c r="C53" s="99">
        <f>B53*0.8</f>
        <v>6207571.4182559997</v>
      </c>
      <c r="D53" s="99">
        <f>B53*1.2</f>
        <v>9311357.1273839995</v>
      </c>
      <c r="E53" s="190"/>
      <c r="F53" s="17"/>
      <c r="G53" s="17"/>
      <c r="K53" s="144"/>
    </row>
    <row r="54" spans="1:11" ht="15" customHeight="1">
      <c r="A54" s="277" t="s">
        <v>190</v>
      </c>
      <c r="B54" s="278"/>
      <c r="C54" s="278"/>
      <c r="D54" s="278"/>
      <c r="E54" s="279"/>
      <c r="F54" s="279"/>
    </row>
    <row r="55" spans="1:11">
      <c r="A55" s="168"/>
      <c r="B55" s="151"/>
      <c r="C55" s="151"/>
      <c r="D55" s="151"/>
    </row>
    <row r="56" spans="1:11">
      <c r="A56" s="168"/>
      <c r="B56" s="151"/>
      <c r="C56" s="151"/>
      <c r="D56" s="151"/>
    </row>
    <row r="57" spans="1:11">
      <c r="A57" s="168"/>
      <c r="B57" s="151"/>
      <c r="C57" s="151"/>
      <c r="D57" s="151"/>
    </row>
  </sheetData>
  <mergeCells count="15">
    <mergeCell ref="A4:G4"/>
    <mergeCell ref="A54:F54"/>
    <mergeCell ref="A15:F15"/>
    <mergeCell ref="E37:J37"/>
    <mergeCell ref="E38:K38"/>
    <mergeCell ref="E44:F44"/>
    <mergeCell ref="C50:D50"/>
    <mergeCell ref="A37:C37"/>
    <mergeCell ref="A38:C38"/>
    <mergeCell ref="A36:C36"/>
    <mergeCell ref="A9:D9"/>
    <mergeCell ref="E30:H31"/>
    <mergeCell ref="C44:D44"/>
    <mergeCell ref="A33:D33"/>
    <mergeCell ref="A5:I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95B9-7491-4435-A40F-E1275AB5A115}">
  <dimension ref="A1:T74"/>
  <sheetViews>
    <sheetView tabSelected="1" topLeftCell="A22" zoomScaleNormal="100" workbookViewId="0">
      <selection activeCell="F43" sqref="F43"/>
    </sheetView>
  </sheetViews>
  <sheetFormatPr baseColWidth="10" defaultRowHeight="15"/>
  <cols>
    <col min="1" max="1" width="35.140625" customWidth="1"/>
    <col min="2" max="2" width="17.7109375" customWidth="1"/>
    <col min="3" max="3" width="12.28515625" customWidth="1"/>
    <col min="4" max="4" width="14.85546875" customWidth="1"/>
    <col min="5" max="5" width="12.7109375" customWidth="1"/>
    <col min="6" max="6" width="14.28515625" customWidth="1"/>
    <col min="7" max="7" width="14.5703125" customWidth="1"/>
    <col min="8" max="8" width="25.42578125" customWidth="1"/>
    <col min="9" max="9" width="12" customWidth="1"/>
    <col min="10" max="10" width="15.7109375" customWidth="1"/>
    <col min="11" max="11" width="31" customWidth="1"/>
    <col min="12" max="12" width="13.7109375" customWidth="1"/>
  </cols>
  <sheetData>
    <row r="1" spans="1:20" ht="24" customHeight="1">
      <c r="A1" s="177" t="s">
        <v>158</v>
      </c>
      <c r="B1" s="177"/>
      <c r="C1" s="177"/>
      <c r="D1" s="177"/>
      <c r="E1" s="177"/>
      <c r="F1" s="177"/>
      <c r="G1" s="160"/>
    </row>
    <row r="2" spans="1:20" ht="15" customHeight="1">
      <c r="A2" s="6"/>
      <c r="B2" s="6"/>
      <c r="C2" s="6"/>
      <c r="D2" s="6"/>
      <c r="E2" s="6"/>
      <c r="F2" s="6"/>
    </row>
    <row r="3" spans="1:20" ht="15.75" customHeight="1">
      <c r="A3" s="276" t="s">
        <v>192</v>
      </c>
      <c r="B3" s="276"/>
      <c r="C3" s="276"/>
      <c r="D3" s="276"/>
      <c r="E3" s="276"/>
      <c r="F3" s="276"/>
      <c r="G3" s="276"/>
      <c r="K3" s="3"/>
    </row>
    <row r="4" spans="1:20" ht="9.75" customHeight="1">
      <c r="A4" s="204"/>
      <c r="B4" s="204"/>
      <c r="C4" s="204"/>
      <c r="D4" s="204"/>
      <c r="E4" s="204"/>
      <c r="F4" s="204"/>
      <c r="G4" s="204"/>
      <c r="M4" s="21"/>
      <c r="N4" s="21"/>
      <c r="O4" s="21"/>
      <c r="P4" s="21"/>
      <c r="Q4" s="21"/>
      <c r="R4" s="21"/>
      <c r="S4" s="21"/>
      <c r="T4" s="21"/>
    </row>
    <row r="5" spans="1:20" ht="15" customHeight="1">
      <c r="A5" s="276" t="s">
        <v>164</v>
      </c>
      <c r="B5" s="276"/>
      <c r="C5" s="276"/>
      <c r="D5" s="276"/>
      <c r="E5" s="276"/>
      <c r="F5" s="204"/>
      <c r="G5" s="204"/>
      <c r="M5" s="21"/>
      <c r="N5" s="244"/>
      <c r="O5" s="21"/>
      <c r="P5" s="21"/>
      <c r="Q5" s="21"/>
      <c r="R5" s="21"/>
      <c r="S5" s="21"/>
      <c r="T5" s="21"/>
    </row>
    <row r="6" spans="1:20" ht="15" customHeight="1">
      <c r="A6" s="296" t="s">
        <v>166</v>
      </c>
      <c r="B6" s="296"/>
      <c r="C6" s="296"/>
      <c r="D6" s="204"/>
      <c r="E6" s="204"/>
      <c r="F6" s="204"/>
      <c r="G6" s="204"/>
      <c r="I6" s="3"/>
      <c r="M6" s="21"/>
      <c r="N6" s="245"/>
      <c r="O6" s="21"/>
      <c r="P6" s="21"/>
      <c r="Q6" s="21"/>
      <c r="R6" s="21"/>
      <c r="S6" s="21"/>
      <c r="T6" s="21"/>
    </row>
    <row r="7" spans="1:20" ht="15" customHeight="1">
      <c r="A7" s="158"/>
      <c r="B7" s="158"/>
      <c r="C7" s="158"/>
      <c r="D7" s="158"/>
      <c r="E7" s="158"/>
      <c r="F7" s="158"/>
      <c r="M7" s="21"/>
      <c r="N7" s="245"/>
      <c r="O7" s="21"/>
      <c r="P7" s="21"/>
      <c r="Q7" s="21"/>
      <c r="R7" s="22"/>
      <c r="S7" s="21"/>
      <c r="T7" s="21"/>
    </row>
    <row r="8" spans="1:20">
      <c r="A8" s="8" t="s">
        <v>165</v>
      </c>
      <c r="B8" s="1"/>
      <c r="C8" s="1"/>
      <c r="D8" s="1"/>
      <c r="E8" s="1"/>
      <c r="F8" s="26"/>
      <c r="G8" s="15"/>
      <c r="M8" s="21"/>
      <c r="N8" s="245"/>
      <c r="O8" s="22"/>
      <c r="P8" s="21"/>
      <c r="Q8" s="21"/>
      <c r="R8" s="21"/>
      <c r="S8" s="21"/>
      <c r="T8" s="21"/>
    </row>
    <row r="9" spans="1:20">
      <c r="A9" s="297"/>
      <c r="B9" s="298"/>
      <c r="C9" s="299"/>
      <c r="D9" s="45" t="s">
        <v>0</v>
      </c>
      <c r="E9" s="7" t="s">
        <v>8</v>
      </c>
      <c r="F9" s="7" t="s">
        <v>10</v>
      </c>
      <c r="M9" s="21"/>
      <c r="N9" s="22"/>
      <c r="O9" s="21"/>
      <c r="P9" s="21"/>
      <c r="Q9" s="21"/>
      <c r="R9" s="21"/>
      <c r="S9" s="21"/>
      <c r="T9" s="21"/>
    </row>
    <row r="10" spans="1:20" ht="15" customHeight="1">
      <c r="A10" s="306" t="s">
        <v>12</v>
      </c>
      <c r="B10" s="307"/>
      <c r="C10" s="308"/>
      <c r="D10" s="44">
        <v>747609</v>
      </c>
      <c r="E10" s="11"/>
      <c r="F10" s="7"/>
      <c r="G10" s="309" t="s">
        <v>200</v>
      </c>
      <c r="H10" s="310"/>
    </row>
    <row r="11" spans="1:20" ht="16.5" customHeight="1">
      <c r="A11" s="303" t="s">
        <v>126</v>
      </c>
      <c r="B11" s="304"/>
      <c r="C11" s="305"/>
      <c r="D11" s="11"/>
      <c r="E11" s="11">
        <f>'3. Tannhelsedata 2017'!C33</f>
        <v>353290.60000000003</v>
      </c>
      <c r="F11" s="7"/>
      <c r="G11" s="280" t="s">
        <v>228</v>
      </c>
      <c r="H11" s="279"/>
      <c r="I11" s="279"/>
      <c r="J11" s="279"/>
      <c r="K11" s="279"/>
      <c r="L11" s="279"/>
      <c r="M11" s="151"/>
    </row>
    <row r="12" spans="1:20">
      <c r="A12" s="300" t="s">
        <v>127</v>
      </c>
      <c r="B12" s="301"/>
      <c r="C12" s="302"/>
      <c r="D12" s="11"/>
      <c r="E12" s="7"/>
      <c r="F12" s="11">
        <f>E11*1.5</f>
        <v>529935.9</v>
      </c>
      <c r="G12" t="s">
        <v>118</v>
      </c>
      <c r="J12" s="3"/>
    </row>
    <row r="13" spans="1:20" ht="15" customHeight="1">
      <c r="A13" s="303" t="s">
        <v>117</v>
      </c>
      <c r="B13" s="304"/>
      <c r="C13" s="305"/>
      <c r="D13" s="11"/>
      <c r="E13" s="7"/>
      <c r="F13" s="11">
        <f>F12*0.55</f>
        <v>291464.74500000005</v>
      </c>
      <c r="G13" t="s">
        <v>252</v>
      </c>
      <c r="J13" s="3"/>
    </row>
    <row r="14" spans="1:20">
      <c r="A14" s="303" t="s">
        <v>201</v>
      </c>
      <c r="B14" s="304"/>
      <c r="C14" s="305"/>
      <c r="D14" s="11"/>
      <c r="E14" s="11"/>
      <c r="F14" s="11">
        <f>F12-F13</f>
        <v>238471.15499999997</v>
      </c>
      <c r="G14" s="185" t="s">
        <v>230</v>
      </c>
      <c r="H14" s="185"/>
      <c r="I14" s="185"/>
      <c r="J14" s="186"/>
      <c r="K14" s="43"/>
    </row>
    <row r="15" spans="1:20" ht="31.5" customHeight="1">
      <c r="A15" s="326" t="s">
        <v>111</v>
      </c>
      <c r="B15" s="327"/>
      <c r="C15" s="328"/>
      <c r="D15" s="191"/>
      <c r="E15" s="191"/>
      <c r="F15" s="216">
        <f>F14*0.3</f>
        <v>71541.346499999985</v>
      </c>
      <c r="G15" s="280" t="s">
        <v>231</v>
      </c>
      <c r="H15" s="311"/>
      <c r="I15" s="311"/>
      <c r="J15" s="311"/>
      <c r="K15" s="311"/>
      <c r="L15" s="311"/>
    </row>
    <row r="16" spans="1:20" s="19" customFormat="1">
      <c r="A16" s="217"/>
      <c r="B16" s="217"/>
      <c r="C16" s="217"/>
      <c r="D16" s="30"/>
      <c r="E16" s="30"/>
      <c r="F16" s="218"/>
      <c r="H16" s="73"/>
      <c r="I16" s="73"/>
      <c r="J16" s="74"/>
      <c r="K16" s="73"/>
    </row>
    <row r="17" spans="1:15" s="19" customFormat="1">
      <c r="A17" s="1" t="s">
        <v>147</v>
      </c>
      <c r="B17" s="26"/>
      <c r="C17" s="26"/>
      <c r="D17" s="26"/>
      <c r="E17" s="43"/>
      <c r="F17" s="26"/>
      <c r="G17" s="26"/>
      <c r="H17"/>
      <c r="I17"/>
    </row>
    <row r="18" spans="1:15" s="19" customFormat="1" ht="15" customHeight="1">
      <c r="A18" s="12"/>
      <c r="B18" s="13"/>
      <c r="C18" s="14"/>
      <c r="D18" s="192" t="s">
        <v>9</v>
      </c>
      <c r="E18" s="219" t="s">
        <v>107</v>
      </c>
      <c r="F18" s="293" t="s">
        <v>108</v>
      </c>
      <c r="G18" s="293"/>
      <c r="I18" s="151"/>
      <c r="J18" s="151"/>
      <c r="K18" s="151"/>
    </row>
    <row r="19" spans="1:15" s="19" customFormat="1" ht="29.25" customHeight="1">
      <c r="A19" s="20" t="s">
        <v>14</v>
      </c>
      <c r="B19" s="13"/>
      <c r="C19" s="13"/>
      <c r="D19" s="220">
        <v>0.7</v>
      </c>
      <c r="E19" s="219"/>
      <c r="F19" s="208"/>
      <c r="G19" s="208"/>
      <c r="H19" s="280" t="s">
        <v>130</v>
      </c>
      <c r="I19" s="279"/>
      <c r="J19" s="279"/>
      <c r="K19" s="279"/>
      <c r="L19" s="279"/>
      <c r="M19" s="279"/>
      <c r="N19" s="279"/>
      <c r="O19" s="151"/>
    </row>
    <row r="20" spans="1:15" s="19" customFormat="1" ht="18" customHeight="1">
      <c r="A20" s="221" t="s">
        <v>105</v>
      </c>
      <c r="B20" s="222"/>
      <c r="C20" s="222"/>
      <c r="D20" s="192">
        <v>1310</v>
      </c>
      <c r="E20" s="18"/>
      <c r="F20" s="206"/>
      <c r="G20" s="206"/>
      <c r="H20" s="276" t="s">
        <v>106</v>
      </c>
      <c r="I20" s="276"/>
      <c r="J20" s="276"/>
      <c r="K20" s="276"/>
      <c r="L20" s="276"/>
      <c r="M20" s="276"/>
      <c r="N20" s="197"/>
      <c r="O20" s="151"/>
    </row>
    <row r="21" spans="1:15" s="19" customFormat="1">
      <c r="A21" s="12" t="s">
        <v>109</v>
      </c>
      <c r="B21" s="13"/>
      <c r="C21" s="14"/>
      <c r="D21" s="192">
        <f>F15*D19</f>
        <v>50078.942549999985</v>
      </c>
      <c r="E21" s="40">
        <f>D21/D20</f>
        <v>38.228200419847319</v>
      </c>
      <c r="F21" s="40">
        <f>E21*0.8</f>
        <v>30.582560335877858</v>
      </c>
      <c r="G21" s="40">
        <f>E21*1.2</f>
        <v>45.87384050381678</v>
      </c>
      <c r="H21" t="s">
        <v>253</v>
      </c>
      <c r="I21"/>
    </row>
    <row r="22" spans="1:15" s="19" customFormat="1">
      <c r="A22" s="326" t="s">
        <v>110</v>
      </c>
      <c r="B22" s="327"/>
      <c r="C22" s="328"/>
      <c r="D22" s="155"/>
      <c r="E22" s="155">
        <f>E21*2</f>
        <v>76.456400839694638</v>
      </c>
      <c r="F22" s="155">
        <f t="shared" ref="F22:G22" si="0">F21*2</f>
        <v>61.165120671755716</v>
      </c>
      <c r="G22" s="155">
        <f t="shared" si="0"/>
        <v>91.74768100763356</v>
      </c>
      <c r="H22" t="s">
        <v>254</v>
      </c>
      <c r="I22"/>
    </row>
    <row r="23" spans="1:15" s="19" customFormat="1">
      <c r="A23" s="30"/>
      <c r="B23" s="30"/>
      <c r="C23" s="30"/>
      <c r="D23" s="218"/>
      <c r="E23" s="188"/>
      <c r="F23" s="188"/>
      <c r="G23" s="84"/>
    </row>
    <row r="24" spans="1:15" s="19" customFormat="1">
      <c r="A24" s="212" t="s">
        <v>155</v>
      </c>
      <c r="B24" s="73"/>
      <c r="C24" s="73"/>
      <c r="D24" s="84"/>
      <c r="E24" s="84"/>
      <c r="F24" s="84"/>
      <c r="G24" s="73"/>
    </row>
    <row r="25" spans="1:15" s="19" customFormat="1">
      <c r="A25" s="329" t="s">
        <v>159</v>
      </c>
      <c r="B25" s="330"/>
      <c r="C25" s="331"/>
      <c r="D25" s="41">
        <f>'1. Budsjettkostnader'!D26</f>
        <v>1158971.5799999998</v>
      </c>
      <c r="E25" s="19" t="s">
        <v>156</v>
      </c>
      <c r="G25" s="73"/>
    </row>
    <row r="26" spans="1:15" s="19" customFormat="1">
      <c r="A26" s="329" t="s">
        <v>160</v>
      </c>
      <c r="B26" s="330"/>
      <c r="C26" s="331"/>
      <c r="D26" s="41">
        <f>'1. Budsjettkostnader'!D41</f>
        <v>584196.44867999991</v>
      </c>
      <c r="E26" s="19" t="s">
        <v>157</v>
      </c>
      <c r="G26" s="73"/>
    </row>
    <row r="27" spans="1:15" s="19" customFormat="1">
      <c r="A27" s="329" t="s">
        <v>152</v>
      </c>
      <c r="B27" s="330"/>
      <c r="C27" s="331"/>
      <c r="D27" s="41">
        <f>D25-D26</f>
        <v>574775.13131999993</v>
      </c>
      <c r="G27" s="73"/>
    </row>
    <row r="28" spans="1:15" s="19" customFormat="1">
      <c r="A28" s="326" t="s">
        <v>161</v>
      </c>
      <c r="B28" s="327"/>
      <c r="C28" s="328"/>
      <c r="D28" s="223">
        <f>D27/D25</f>
        <v>0.49593548387096775</v>
      </c>
      <c r="E28" s="213" t="s">
        <v>232</v>
      </c>
      <c r="G28" s="73"/>
      <c r="H28" s="209"/>
    </row>
    <row r="29" spans="1:15" s="19" customFormat="1">
      <c r="G29" s="73"/>
    </row>
    <row r="30" spans="1:15" s="19" customFormat="1">
      <c r="A30" s="1" t="s">
        <v>162</v>
      </c>
      <c r="B30" s="26"/>
      <c r="C30" s="26"/>
      <c r="D30" s="26"/>
      <c r="E30" s="43"/>
      <c r="F30" s="26"/>
      <c r="G30" s="26"/>
    </row>
    <row r="31" spans="1:15" s="19" customFormat="1">
      <c r="A31" s="90"/>
      <c r="B31" s="96"/>
      <c r="C31" s="225" t="s">
        <v>170</v>
      </c>
      <c r="D31" s="167" t="s">
        <v>9</v>
      </c>
      <c r="E31" s="224" t="s">
        <v>107</v>
      </c>
      <c r="F31" s="325" t="s">
        <v>108</v>
      </c>
      <c r="G31" s="325"/>
    </row>
    <row r="32" spans="1:15" s="19" customFormat="1">
      <c r="A32" s="214" t="s">
        <v>163</v>
      </c>
      <c r="B32" s="210"/>
      <c r="C32" s="215">
        <f>F15*D28</f>
        <v>35479.892293258061</v>
      </c>
      <c r="D32" s="224"/>
      <c r="E32" s="224"/>
      <c r="F32" s="225"/>
      <c r="G32" s="225"/>
      <c r="H32" s="19" t="s">
        <v>255</v>
      </c>
    </row>
    <row r="33" spans="1:12" s="19" customFormat="1">
      <c r="A33" s="90" t="s">
        <v>131</v>
      </c>
      <c r="B33" s="96"/>
      <c r="C33" s="240"/>
      <c r="D33" s="167">
        <f>C32*D19</f>
        <v>24835.924605280641</v>
      </c>
      <c r="E33" s="226">
        <f>D33/D20</f>
        <v>18.958721072733315</v>
      </c>
      <c r="F33" s="226">
        <f>E33*0.8</f>
        <v>15.166976858186652</v>
      </c>
      <c r="G33" s="226">
        <f>E33*1.2</f>
        <v>22.750465287279976</v>
      </c>
      <c r="H33" s="19" t="s">
        <v>233</v>
      </c>
    </row>
    <row r="34" spans="1:12" s="19" customFormat="1">
      <c r="A34" s="227" t="s">
        <v>110</v>
      </c>
      <c r="B34" s="228"/>
      <c r="C34" s="241"/>
      <c r="D34" s="152"/>
      <c r="E34" s="152">
        <f>E33*2</f>
        <v>37.91744214546663</v>
      </c>
      <c r="F34" s="152">
        <f t="shared" ref="F34:G34" si="1">F33*2</f>
        <v>30.333953716373305</v>
      </c>
      <c r="G34" s="152">
        <f t="shared" si="1"/>
        <v>45.500930574559952</v>
      </c>
      <c r="H34" s="19" t="s">
        <v>132</v>
      </c>
    </row>
    <row r="35" spans="1:12" s="19" customFormat="1">
      <c r="A35" s="21"/>
      <c r="B35" s="21"/>
      <c r="C35" s="21"/>
      <c r="D35" s="22"/>
      <c r="E35" s="75"/>
      <c r="F35" s="75"/>
    </row>
    <row r="36" spans="1:12" s="19" customFormat="1" ht="16.5" customHeight="1">
      <c r="A36" s="335" t="s">
        <v>171</v>
      </c>
      <c r="B36" s="335"/>
      <c r="C36" s="335"/>
      <c r="D36" s="335"/>
      <c r="E36" s="335"/>
      <c r="F36" s="73"/>
      <c r="I36" s="46"/>
    </row>
    <row r="37" spans="1:12">
      <c r="A37" s="329"/>
      <c r="B37" s="330"/>
      <c r="C37" s="331"/>
      <c r="D37" s="40" t="s">
        <v>9</v>
      </c>
      <c r="E37" s="208" t="s">
        <v>2</v>
      </c>
      <c r="I37" s="3"/>
      <c r="L37" s="89"/>
    </row>
    <row r="38" spans="1:12">
      <c r="A38" s="221" t="s">
        <v>174</v>
      </c>
      <c r="B38" s="222"/>
      <c r="C38" s="222"/>
      <c r="D38" s="156"/>
      <c r="E38" s="192">
        <v>595</v>
      </c>
      <c r="F38" t="s">
        <v>256</v>
      </c>
      <c r="G38" s="3"/>
    </row>
    <row r="39" spans="1:12">
      <c r="A39" s="12" t="s">
        <v>175</v>
      </c>
      <c r="B39" s="13"/>
      <c r="C39" s="13"/>
      <c r="D39" s="156"/>
      <c r="E39" s="229">
        <v>985</v>
      </c>
      <c r="F39" t="s">
        <v>256</v>
      </c>
      <c r="G39" s="3"/>
    </row>
    <row r="40" spans="1:12" ht="28.5" customHeight="1">
      <c r="A40" s="242" t="s">
        <v>173</v>
      </c>
      <c r="B40" s="243"/>
      <c r="C40" s="194"/>
      <c r="D40" s="216"/>
      <c r="E40" s="196">
        <f>E38/2+E39/2</f>
        <v>790</v>
      </c>
      <c r="F40" s="280" t="s">
        <v>262</v>
      </c>
      <c r="G40" s="279"/>
      <c r="H40" s="279"/>
      <c r="I40" s="279"/>
      <c r="J40" s="279"/>
      <c r="K40" s="279"/>
    </row>
    <row r="41" spans="1:12">
      <c r="A41" s="230" t="s">
        <v>39</v>
      </c>
      <c r="B41" s="207"/>
      <c r="C41" s="13"/>
      <c r="D41" s="156"/>
      <c r="E41" s="229">
        <f>105</f>
        <v>105</v>
      </c>
      <c r="F41" t="s">
        <v>256</v>
      </c>
      <c r="G41" s="3"/>
    </row>
    <row r="42" spans="1:12">
      <c r="A42" s="145" t="s">
        <v>172</v>
      </c>
      <c r="B42" s="231"/>
      <c r="C42" s="194"/>
      <c r="D42" s="216"/>
      <c r="E42" s="232">
        <f>E40+E41</f>
        <v>895</v>
      </c>
    </row>
    <row r="43" spans="1:12" s="21" customFormat="1">
      <c r="A43" s="30"/>
      <c r="B43" s="68"/>
      <c r="C43" s="30"/>
      <c r="D43" s="218"/>
      <c r="E43" s="30"/>
    </row>
    <row r="44" spans="1:12" s="19" customFormat="1">
      <c r="A44" s="23" t="s">
        <v>146</v>
      </c>
      <c r="B44" s="233"/>
      <c r="C44" s="205"/>
      <c r="D44" s="205"/>
      <c r="E44" s="188"/>
      <c r="F44" s="75"/>
      <c r="J44" s="94"/>
    </row>
    <row r="45" spans="1:12" s="19" customFormat="1">
      <c r="A45" s="356"/>
      <c r="B45" s="357"/>
      <c r="C45" s="40" t="s">
        <v>9</v>
      </c>
      <c r="D45" s="208" t="s">
        <v>2</v>
      </c>
      <c r="E45" s="92" t="s">
        <v>264</v>
      </c>
      <c r="F45" s="75"/>
      <c r="J45" s="94"/>
    </row>
    <row r="46" spans="1:12" s="19" customFormat="1">
      <c r="A46" s="358" t="s">
        <v>35</v>
      </c>
      <c r="B46" s="359"/>
      <c r="C46" s="156"/>
      <c r="D46" s="156">
        <v>882676</v>
      </c>
      <c r="E46" s="7"/>
      <c r="F46" t="s">
        <v>128</v>
      </c>
      <c r="G46"/>
      <c r="H46"/>
      <c r="I46"/>
      <c r="J46" s="94"/>
    </row>
    <row r="47" spans="1:12" s="19" customFormat="1">
      <c r="A47" s="358" t="s">
        <v>36</v>
      </c>
      <c r="B47" s="359"/>
      <c r="C47" s="156"/>
      <c r="D47" s="156">
        <v>543185</v>
      </c>
      <c r="E47" s="7"/>
      <c r="F47" t="s">
        <v>128</v>
      </c>
      <c r="G47"/>
      <c r="H47"/>
      <c r="I47"/>
      <c r="J47" s="94"/>
    </row>
    <row r="48" spans="1:12" s="19" customFormat="1">
      <c r="A48" s="329" t="s">
        <v>263</v>
      </c>
      <c r="B48" s="330"/>
      <c r="C48" s="156"/>
      <c r="D48" s="156">
        <f>SUM(D46:D47)</f>
        <v>1425861</v>
      </c>
      <c r="E48" s="7"/>
      <c r="F48"/>
      <c r="G48"/>
      <c r="H48"/>
      <c r="I48"/>
      <c r="J48" s="94"/>
    </row>
    <row r="49" spans="1:12" s="19" customFormat="1">
      <c r="A49" s="329" t="s">
        <v>176</v>
      </c>
      <c r="B49" s="330"/>
      <c r="C49" s="156">
        <f>36*52</f>
        <v>1872</v>
      </c>
      <c r="D49" s="18"/>
      <c r="E49" s="7"/>
      <c r="F49"/>
      <c r="G49" s="3"/>
      <c r="H49"/>
      <c r="I49"/>
      <c r="J49" s="94"/>
    </row>
    <row r="50" spans="1:12" s="19" customFormat="1">
      <c r="A50" s="219" t="s">
        <v>56</v>
      </c>
      <c r="B50" s="356"/>
      <c r="C50" s="219"/>
      <c r="D50" s="234">
        <f>D48/C49</f>
        <v>761.67788461538464</v>
      </c>
      <c r="E50" s="7"/>
      <c r="F50" s="19" t="s">
        <v>169</v>
      </c>
      <c r="G50" s="75"/>
      <c r="J50" s="70"/>
    </row>
    <row r="51" spans="1:12" s="19" customFormat="1">
      <c r="A51" s="326" t="s">
        <v>133</v>
      </c>
      <c r="B51" s="327"/>
      <c r="C51" s="360"/>
      <c r="D51" s="216">
        <f>D50*0.7</f>
        <v>533.17451923076919</v>
      </c>
      <c r="E51" s="361">
        <f>D51/(D52+D51)</f>
        <v>0.59572571981091527</v>
      </c>
      <c r="F51" s="93" t="s">
        <v>234</v>
      </c>
      <c r="G51" s="75"/>
    </row>
    <row r="52" spans="1:12" s="19" customFormat="1">
      <c r="A52" s="326" t="s">
        <v>134</v>
      </c>
      <c r="B52" s="327"/>
      <c r="C52" s="360"/>
      <c r="D52" s="216">
        <f>E42-D51</f>
        <v>361.82548076923081</v>
      </c>
      <c r="E52" s="361">
        <f>D52/(D52+D51)</f>
        <v>0.40427428018908468</v>
      </c>
      <c r="F52" s="19" t="s">
        <v>129</v>
      </c>
      <c r="G52" s="153"/>
    </row>
    <row r="53" spans="1:12" s="19" customFormat="1">
      <c r="B53" s="21"/>
      <c r="C53" s="21"/>
      <c r="D53" s="22"/>
      <c r="E53" s="75"/>
      <c r="F53" s="75"/>
    </row>
    <row r="54" spans="1:12" s="19" customFormat="1">
      <c r="A54" s="1" t="s">
        <v>148</v>
      </c>
      <c r="B54" s="26"/>
      <c r="C54" s="26"/>
      <c r="D54" s="26"/>
      <c r="E54" s="26"/>
      <c r="F54" s="26"/>
    </row>
    <row r="55" spans="1:12" s="19" customFormat="1">
      <c r="A55" s="287"/>
      <c r="B55" s="288"/>
      <c r="C55" s="289"/>
      <c r="D55" s="208" t="s">
        <v>2</v>
      </c>
      <c r="E55" s="287" t="s">
        <v>7</v>
      </c>
      <c r="F55" s="289"/>
    </row>
    <row r="56" spans="1:12" s="19" customFormat="1" ht="31.5" customHeight="1">
      <c r="A56" s="329" t="s">
        <v>57</v>
      </c>
      <c r="B56" s="330"/>
      <c r="C56" s="331"/>
      <c r="D56" s="156">
        <f>D51*F15</f>
        <v>38144023.025259361</v>
      </c>
      <c r="E56" s="156">
        <f>D56*0.8</f>
        <v>30515218.420207489</v>
      </c>
      <c r="F56" s="156">
        <f>D56*1.2</f>
        <v>45772827.630311228</v>
      </c>
      <c r="G56" s="320" t="s">
        <v>235</v>
      </c>
      <c r="H56" s="321"/>
      <c r="I56" s="321"/>
      <c r="J56" s="321"/>
      <c r="K56" s="321"/>
      <c r="L56" s="321"/>
    </row>
    <row r="57" spans="1:12" s="19" customFormat="1">
      <c r="A57" s="329" t="s">
        <v>58</v>
      </c>
      <c r="B57" s="330"/>
      <c r="C57" s="331"/>
      <c r="D57" s="156">
        <f>D52*F15</f>
        <v>25885482.092240624</v>
      </c>
      <c r="E57" s="156">
        <f>D57*0.8</f>
        <v>20708385.6737925</v>
      </c>
      <c r="F57" s="156">
        <f>D57*1.2</f>
        <v>31062578.510688748</v>
      </c>
    </row>
    <row r="58" spans="1:12" s="19" customFormat="1">
      <c r="A58" s="145" t="s">
        <v>59</v>
      </c>
      <c r="B58" s="194"/>
      <c r="C58" s="195"/>
      <c r="D58" s="216">
        <f>SUM(D56:D57)</f>
        <v>64029505.117499985</v>
      </c>
      <c r="E58" s="216">
        <f>D58*0.8</f>
        <v>51223604.093999989</v>
      </c>
      <c r="F58" s="216">
        <f>D58*1.2</f>
        <v>76835406.140999973</v>
      </c>
    </row>
    <row r="59" spans="1:12" s="19" customFormat="1">
      <c r="G59" s="73"/>
    </row>
    <row r="60" spans="1:12" s="19" customFormat="1">
      <c r="A60" s="1" t="s">
        <v>149</v>
      </c>
      <c r="B60" s="26"/>
      <c r="C60" s="26"/>
      <c r="D60" s="26"/>
      <c r="E60" s="26"/>
      <c r="F60"/>
    </row>
    <row r="61" spans="1:12" s="19" customFormat="1">
      <c r="A61" s="180"/>
      <c r="B61" s="181"/>
      <c r="C61" s="225" t="s">
        <v>2</v>
      </c>
      <c r="D61" s="318" t="s">
        <v>7</v>
      </c>
      <c r="E61" s="319"/>
    </row>
    <row r="62" spans="1:12" s="19" customFormat="1" ht="18" customHeight="1">
      <c r="A62" s="180" t="s">
        <v>179</v>
      </c>
      <c r="B62" s="181"/>
      <c r="C62" s="95">
        <f>D51*C32</f>
        <v>18916974.51581734</v>
      </c>
      <c r="D62" s="95">
        <f>C62*0.8</f>
        <v>15133579.612653874</v>
      </c>
      <c r="E62" s="95">
        <f>C62*1.2</f>
        <v>22700369.418980807</v>
      </c>
      <c r="F62" s="320" t="s">
        <v>236</v>
      </c>
      <c r="G62" s="321"/>
      <c r="H62" s="321"/>
      <c r="I62" s="321"/>
      <c r="J62" s="321"/>
      <c r="K62" s="321"/>
      <c r="L62" s="182"/>
    </row>
    <row r="63" spans="1:12" s="19" customFormat="1" ht="18" customHeight="1">
      <c r="A63" s="180" t="s">
        <v>151</v>
      </c>
      <c r="B63" s="181"/>
      <c r="C63" s="95">
        <f>D52*C32</f>
        <v>12837529.086648624</v>
      </c>
      <c r="D63" s="95">
        <f>C63*0.8</f>
        <v>10270023.269318901</v>
      </c>
      <c r="E63" s="95">
        <f>C63*1.2</f>
        <v>15405034.903978348</v>
      </c>
      <c r="F63" s="320" t="s">
        <v>237</v>
      </c>
      <c r="G63" s="321"/>
      <c r="H63" s="321"/>
      <c r="I63" s="321"/>
      <c r="J63" s="321"/>
      <c r="K63" s="321"/>
    </row>
    <row r="64" spans="1:12" s="19" customFormat="1" ht="18" customHeight="1">
      <c r="A64" s="90" t="s">
        <v>150</v>
      </c>
      <c r="B64" s="96"/>
      <c r="C64" s="97">
        <f>'1. Budsjettkostnader'!B53</f>
        <v>7759464.2728199996</v>
      </c>
      <c r="D64" s="97">
        <f>C64*0.8</f>
        <v>6207571.4182559997</v>
      </c>
      <c r="E64" s="97">
        <f>C64*1.2</f>
        <v>9311357.1273839995</v>
      </c>
      <c r="F64" s="19" t="s">
        <v>238</v>
      </c>
      <c r="G64" s="198"/>
      <c r="H64" s="198"/>
      <c r="I64" s="198"/>
      <c r="J64" s="198"/>
      <c r="K64" s="198"/>
    </row>
    <row r="65" spans="1:13" s="19" customFormat="1" ht="18" customHeight="1">
      <c r="A65" s="333" t="s">
        <v>177</v>
      </c>
      <c r="B65" s="334"/>
      <c r="C65" s="235">
        <f>C63-C64</f>
        <v>5078064.8138286248</v>
      </c>
      <c r="D65" s="235">
        <f>C65*0.8</f>
        <v>4062451.8510628999</v>
      </c>
      <c r="E65" s="235">
        <f>C65*1.2</f>
        <v>6093677.7765943492</v>
      </c>
      <c r="G65" s="211"/>
      <c r="H65" s="211"/>
      <c r="I65" s="211"/>
      <c r="J65" s="211"/>
      <c r="K65" s="211"/>
    </row>
    <row r="66" spans="1:13" s="19" customFormat="1" ht="18" customHeight="1">
      <c r="A66" s="227" t="s">
        <v>178</v>
      </c>
      <c r="B66" s="228"/>
      <c r="C66" s="235">
        <f>C62+C63-C64</f>
        <v>23995039.329645965</v>
      </c>
      <c r="D66" s="235">
        <f>C66*0.8</f>
        <v>19196031.463716771</v>
      </c>
      <c r="E66" s="235">
        <f>C66*1.2</f>
        <v>28794047.195575159</v>
      </c>
      <c r="F66" s="22"/>
      <c r="G66" s="46"/>
    </row>
    <row r="67" spans="1:13" s="19" customFormat="1" ht="18" customHeight="1">
      <c r="A67" s="148" t="s">
        <v>180</v>
      </c>
      <c r="B67" s="48"/>
      <c r="C67" s="34"/>
      <c r="D67" s="34"/>
      <c r="E67" s="34"/>
      <c r="F67" s="22"/>
      <c r="G67" s="46"/>
    </row>
    <row r="68" spans="1:13" s="21" customFormat="1" ht="20.25" customHeight="1">
      <c r="A68" s="332"/>
      <c r="B68" s="332"/>
      <c r="C68" s="332"/>
      <c r="D68" s="332"/>
      <c r="E68" s="332"/>
      <c r="F68" s="332"/>
    </row>
    <row r="69" spans="1:13" s="21" customFormat="1">
      <c r="A69" s="88" t="s">
        <v>135</v>
      </c>
      <c r="B69" s="35"/>
      <c r="C69" s="35"/>
      <c r="D69" s="236"/>
      <c r="E69" s="236"/>
      <c r="F69" s="236"/>
    </row>
    <row r="70" spans="1:13" s="19" customFormat="1" ht="16.5" customHeight="1">
      <c r="A70" s="237"/>
      <c r="B70" s="238"/>
      <c r="C70" s="238"/>
      <c r="D70" s="170" t="s">
        <v>2</v>
      </c>
      <c r="E70" s="322" t="s">
        <v>7</v>
      </c>
      <c r="F70" s="323"/>
      <c r="H70" s="324"/>
      <c r="I70" s="324"/>
      <c r="J70" s="324"/>
      <c r="K70" s="324"/>
      <c r="L70" s="324"/>
      <c r="M70" s="324"/>
    </row>
    <row r="71" spans="1:13" s="19" customFormat="1" ht="16.5" customHeight="1">
      <c r="A71" s="199" t="s">
        <v>150</v>
      </c>
      <c r="B71" s="200"/>
      <c r="C71" s="201"/>
      <c r="D71" s="202">
        <f>C64</f>
        <v>7759464.2728199996</v>
      </c>
      <c r="E71" s="202">
        <f>D71*0.8</f>
        <v>6207571.4182559997</v>
      </c>
      <c r="F71" s="202">
        <f>D71*1.2</f>
        <v>9311357.1273839995</v>
      </c>
      <c r="G71" s="19" t="s">
        <v>138</v>
      </c>
    </row>
    <row r="72" spans="1:13" s="19" customFormat="1" ht="16.5" customHeight="1">
      <c r="A72" s="315" t="s">
        <v>119</v>
      </c>
      <c r="B72" s="316"/>
      <c r="C72" s="317"/>
      <c r="D72" s="203">
        <f>C63</f>
        <v>12837529.086648624</v>
      </c>
      <c r="E72" s="203">
        <f>D72*0.8</f>
        <v>10270023.269318901</v>
      </c>
      <c r="F72" s="203">
        <f>D72*1.2</f>
        <v>15405034.903978348</v>
      </c>
    </row>
    <row r="73" spans="1:13" s="19" customFormat="1" ht="16.5" customHeight="1">
      <c r="A73" s="312" t="s">
        <v>60</v>
      </c>
      <c r="B73" s="313"/>
      <c r="C73" s="314"/>
      <c r="D73" s="239">
        <f>C64-D72</f>
        <v>-5078064.8138286248</v>
      </c>
      <c r="E73" s="239">
        <f>D73*0.8</f>
        <v>-4062451.8510628999</v>
      </c>
      <c r="F73" s="239">
        <f>D73*1.2</f>
        <v>-6093677.7765943492</v>
      </c>
    </row>
    <row r="74" spans="1:13" s="19" customFormat="1"/>
  </sheetData>
  <mergeCells count="45">
    <mergeCell ref="A52:B52"/>
    <mergeCell ref="A57:C57"/>
    <mergeCell ref="A56:C56"/>
    <mergeCell ref="A68:F68"/>
    <mergeCell ref="A65:B65"/>
    <mergeCell ref="F18:G18"/>
    <mergeCell ref="A37:C37"/>
    <mergeCell ref="A25:C25"/>
    <mergeCell ref="A26:C26"/>
    <mergeCell ref="A27:C27"/>
    <mergeCell ref="A28:C28"/>
    <mergeCell ref="F40:K40"/>
    <mergeCell ref="A22:C22"/>
    <mergeCell ref="A36:E36"/>
    <mergeCell ref="F31:G31"/>
    <mergeCell ref="G56:L56"/>
    <mergeCell ref="E55:F55"/>
    <mergeCell ref="A55:C55"/>
    <mergeCell ref="A15:C15"/>
    <mergeCell ref="H20:M20"/>
    <mergeCell ref="A46:B46"/>
    <mergeCell ref="A47:B47"/>
    <mergeCell ref="A48:B48"/>
    <mergeCell ref="A49:B49"/>
    <mergeCell ref="A51:B51"/>
    <mergeCell ref="A73:C73"/>
    <mergeCell ref="A72:C72"/>
    <mergeCell ref="D61:E61"/>
    <mergeCell ref="F62:K62"/>
    <mergeCell ref="F63:K63"/>
    <mergeCell ref="E70:F70"/>
    <mergeCell ref="H70:M70"/>
    <mergeCell ref="A3:G3"/>
    <mergeCell ref="A5:E5"/>
    <mergeCell ref="A6:C6"/>
    <mergeCell ref="H19:N19"/>
    <mergeCell ref="A9:C9"/>
    <mergeCell ref="A12:C12"/>
    <mergeCell ref="A14:C14"/>
    <mergeCell ref="A10:C10"/>
    <mergeCell ref="A11:C11"/>
    <mergeCell ref="G10:H10"/>
    <mergeCell ref="A13:C13"/>
    <mergeCell ref="G11:L11"/>
    <mergeCell ref="G15:L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3"/>
  <sheetViews>
    <sheetView topLeftCell="A7" zoomScaleNormal="100" workbookViewId="0">
      <selection activeCell="J29" sqref="J29"/>
    </sheetView>
  </sheetViews>
  <sheetFormatPr baseColWidth="10" defaultRowHeight="15"/>
  <cols>
    <col min="1" max="1" width="40.42578125" customWidth="1"/>
    <col min="2" max="2" width="12" customWidth="1"/>
    <col min="3" max="4" width="12.85546875" customWidth="1"/>
    <col min="5" max="5" width="13.7109375" customWidth="1"/>
    <col min="7" max="7" width="15.5703125" customWidth="1"/>
    <col min="8" max="9" width="12" customWidth="1"/>
  </cols>
  <sheetData>
    <row r="1" spans="1:19" ht="18.75">
      <c r="A1" s="105" t="s">
        <v>212</v>
      </c>
      <c r="B1" s="106"/>
      <c r="C1" s="106"/>
      <c r="D1" s="106"/>
      <c r="E1" s="106"/>
      <c r="F1" s="106"/>
      <c r="G1" s="106"/>
      <c r="H1" s="106"/>
      <c r="I1" s="106"/>
    </row>
    <row r="2" spans="1:19" ht="18.75">
      <c r="A2" s="49"/>
    </row>
    <row r="3" spans="1:19">
      <c r="A3" s="142" t="s">
        <v>47</v>
      </c>
      <c r="B3" s="91" t="s">
        <v>16</v>
      </c>
      <c r="C3" s="91" t="s">
        <v>17</v>
      </c>
      <c r="D3" s="91" t="s">
        <v>18</v>
      </c>
      <c r="E3" s="91" t="s">
        <v>15</v>
      </c>
    </row>
    <row r="4" spans="1:19">
      <c r="A4" s="91" t="s">
        <v>11</v>
      </c>
      <c r="B4" s="100"/>
      <c r="C4" s="100"/>
      <c r="D4" s="100"/>
      <c r="E4" s="100">
        <v>747609</v>
      </c>
      <c r="O4" s="21"/>
      <c r="P4" s="21"/>
      <c r="Q4" s="21"/>
      <c r="R4" s="21"/>
      <c r="S4" s="21"/>
    </row>
    <row r="5" spans="1:19">
      <c r="A5" s="91" t="s">
        <v>13</v>
      </c>
      <c r="B5" s="100">
        <v>48310</v>
      </c>
      <c r="C5" s="100">
        <v>47252</v>
      </c>
      <c r="D5" s="100">
        <v>49947</v>
      </c>
      <c r="E5" s="100">
        <f>SUM(B5:D5)</f>
        <v>145509</v>
      </c>
      <c r="G5" s="23"/>
      <c r="H5" s="1"/>
      <c r="I5" s="1"/>
      <c r="O5" s="21"/>
      <c r="P5" s="336"/>
      <c r="Q5" s="336"/>
      <c r="R5" s="336"/>
      <c r="S5" s="21"/>
    </row>
    <row r="6" spans="1:19" ht="18.75" customHeight="1">
      <c r="A6" s="17"/>
      <c r="B6" s="67"/>
      <c r="C6" s="67"/>
      <c r="E6" s="67"/>
      <c r="G6" s="21"/>
      <c r="H6" s="341"/>
      <c r="I6" s="341"/>
      <c r="J6" s="248"/>
      <c r="K6" s="342"/>
      <c r="L6" s="342"/>
      <c r="M6" s="342"/>
      <c r="N6" s="342"/>
      <c r="O6" s="342"/>
    </row>
    <row r="7" spans="1:19">
      <c r="A7" s="1" t="s">
        <v>204</v>
      </c>
      <c r="B7" s="16"/>
      <c r="C7" s="16"/>
      <c r="D7" s="67"/>
      <c r="E7" s="16"/>
      <c r="F7" s="16"/>
      <c r="G7" s="21"/>
      <c r="H7" s="341"/>
      <c r="I7" s="341"/>
      <c r="J7" s="248"/>
      <c r="K7" s="248"/>
      <c r="L7" s="16"/>
    </row>
    <row r="8" spans="1:19" ht="30">
      <c r="A8" s="142"/>
      <c r="B8" s="101" t="s">
        <v>37</v>
      </c>
      <c r="C8" s="101" t="s">
        <v>5</v>
      </c>
      <c r="G8" s="17"/>
      <c r="H8" s="22"/>
      <c r="I8" s="17"/>
    </row>
    <row r="9" spans="1:19">
      <c r="A9" s="91" t="s">
        <v>38</v>
      </c>
      <c r="B9" s="102">
        <v>0.68</v>
      </c>
      <c r="C9" s="91">
        <v>16</v>
      </c>
      <c r="J9" s="3"/>
    </row>
    <row r="10" spans="1:19">
      <c r="A10" s="91" t="s">
        <v>62</v>
      </c>
      <c r="B10" s="102">
        <v>0.42</v>
      </c>
      <c r="C10" s="91">
        <v>2</v>
      </c>
    </row>
    <row r="11" spans="1:19">
      <c r="A11" s="103" t="s">
        <v>61</v>
      </c>
      <c r="B11" s="104">
        <f>(B9*C9+B10*C10)/18</f>
        <v>0.6511111111111112</v>
      </c>
      <c r="C11" s="103">
        <f>SUM(C9:C10)</f>
        <v>18</v>
      </c>
    </row>
    <row r="13" spans="1:19">
      <c r="A13" s="1" t="s">
        <v>205</v>
      </c>
      <c r="B13" s="1"/>
      <c r="C13" s="1"/>
    </row>
    <row r="14" spans="1:19">
      <c r="A14" s="246" t="s">
        <v>239</v>
      </c>
      <c r="B14" s="246" t="s">
        <v>202</v>
      </c>
      <c r="C14" t="s">
        <v>243</v>
      </c>
    </row>
    <row r="15" spans="1:19">
      <c r="A15" s="91" t="s">
        <v>203</v>
      </c>
      <c r="B15" s="100">
        <f>B17*0.25</f>
        <v>6306.25</v>
      </c>
    </row>
    <row r="16" spans="1:19">
      <c r="A16" s="91" t="s">
        <v>206</v>
      </c>
      <c r="B16" s="100">
        <f>B17*0.5</f>
        <v>12612.5</v>
      </c>
    </row>
    <row r="17" spans="1:5">
      <c r="A17" s="246" t="s">
        <v>213</v>
      </c>
      <c r="B17" s="247">
        <v>25225</v>
      </c>
    </row>
    <row r="18" spans="1:5">
      <c r="A18" s="91" t="s">
        <v>209</v>
      </c>
      <c r="B18" s="100">
        <f>B17*1.1</f>
        <v>27747.500000000004</v>
      </c>
      <c r="C18" t="s">
        <v>207</v>
      </c>
    </row>
    <row r="19" spans="1:5">
      <c r="A19" s="91" t="s">
        <v>208</v>
      </c>
      <c r="B19" s="100">
        <f>B17*1.2</f>
        <v>30270</v>
      </c>
      <c r="C19" t="s">
        <v>207</v>
      </c>
    </row>
    <row r="20" spans="1:5">
      <c r="A20" s="91" t="s">
        <v>217</v>
      </c>
      <c r="B20" s="100">
        <f>B24*0.4</f>
        <v>7139.6</v>
      </c>
    </row>
    <row r="21" spans="1:5">
      <c r="A21" s="91" t="s">
        <v>216</v>
      </c>
      <c r="B21" s="100">
        <f>B24*0.55</f>
        <v>9816.9500000000007</v>
      </c>
    </row>
    <row r="22" spans="1:5">
      <c r="A22" s="91" t="s">
        <v>214</v>
      </c>
      <c r="B22" s="100">
        <f>B24*0.7</f>
        <v>12494.3</v>
      </c>
    </row>
    <row r="23" spans="1:5">
      <c r="A23" s="91" t="s">
        <v>215</v>
      </c>
      <c r="B23" s="100">
        <f>B24*0.85</f>
        <v>15171.65</v>
      </c>
    </row>
    <row r="24" spans="1:5">
      <c r="A24" s="246" t="s">
        <v>211</v>
      </c>
      <c r="B24" s="247">
        <v>17849</v>
      </c>
    </row>
    <row r="25" spans="1:5">
      <c r="A25" s="91" t="s">
        <v>221</v>
      </c>
      <c r="B25" s="100">
        <f>B24+E28</f>
        <v>22777.5</v>
      </c>
      <c r="C25" s="3"/>
    </row>
    <row r="26" spans="1:5">
      <c r="A26" s="91" t="s">
        <v>222</v>
      </c>
      <c r="B26" s="100">
        <f>B25+E28</f>
        <v>27706</v>
      </c>
      <c r="C26" s="249" t="s">
        <v>218</v>
      </c>
      <c r="D26" s="250"/>
      <c r="E26" s="251">
        <f>B30-B24</f>
        <v>29571</v>
      </c>
    </row>
    <row r="27" spans="1:5">
      <c r="A27" s="91" t="s">
        <v>223</v>
      </c>
      <c r="B27" s="100">
        <f>B26+E28</f>
        <v>32634.5</v>
      </c>
      <c r="C27" s="337" t="s">
        <v>220</v>
      </c>
      <c r="D27" s="338"/>
      <c r="E27" s="252"/>
    </row>
    <row r="28" spans="1:5">
      <c r="A28" s="91" t="s">
        <v>224</v>
      </c>
      <c r="B28" s="100">
        <f>B27+E28</f>
        <v>37563</v>
      </c>
      <c r="C28" s="339"/>
      <c r="D28" s="340"/>
      <c r="E28" s="253">
        <f>E26/6</f>
        <v>4928.5</v>
      </c>
    </row>
    <row r="29" spans="1:5">
      <c r="A29" s="91" t="s">
        <v>225</v>
      </c>
      <c r="B29" s="100">
        <f>B28+E28</f>
        <v>42491.5</v>
      </c>
    </row>
    <row r="30" spans="1:5">
      <c r="A30" s="246" t="s">
        <v>210</v>
      </c>
      <c r="B30" s="247">
        <v>47420</v>
      </c>
    </row>
    <row r="31" spans="1:5">
      <c r="A31" s="91" t="s">
        <v>226</v>
      </c>
      <c r="B31" s="100">
        <f>B30*0.8</f>
        <v>37936</v>
      </c>
    </row>
    <row r="32" spans="1:5">
      <c r="A32" s="91" t="s">
        <v>227</v>
      </c>
      <c r="B32" s="100">
        <f>B30*0.6</f>
        <v>28452</v>
      </c>
      <c r="C32" s="256" t="s">
        <v>1</v>
      </c>
      <c r="D32" t="s">
        <v>244</v>
      </c>
    </row>
    <row r="33" spans="1:19">
      <c r="A33" s="254" t="s">
        <v>219</v>
      </c>
      <c r="B33" s="255">
        <f>SUM(B15:B32)</f>
        <v>441613.25</v>
      </c>
      <c r="C33" s="257">
        <f>B33*0.8</f>
        <v>353290.60000000003</v>
      </c>
      <c r="D33" t="s">
        <v>199</v>
      </c>
      <c r="I33" s="46"/>
    </row>
    <row r="34" spans="1:19">
      <c r="B34" s="3"/>
      <c r="C34" s="3"/>
    </row>
    <row r="35" spans="1:19" ht="18.75">
      <c r="A35" s="107" t="s">
        <v>70</v>
      </c>
      <c r="B35" s="108"/>
      <c r="C35" s="108"/>
      <c r="D35" s="108"/>
      <c r="E35" s="108"/>
      <c r="F35" s="108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8.75">
      <c r="A36" s="4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5.75">
      <c r="A37" s="109" t="s">
        <v>97</v>
      </c>
      <c r="B37" s="110"/>
      <c r="C37" s="109"/>
      <c r="D37" s="109"/>
      <c r="E37" s="109"/>
      <c r="F37" s="109"/>
      <c r="G37" s="109"/>
      <c r="H37" s="109"/>
      <c r="I37" s="109"/>
      <c r="J37" s="109"/>
      <c r="K37" s="109"/>
      <c r="L37" s="16"/>
      <c r="M37" s="16"/>
      <c r="N37" s="16"/>
      <c r="O37" s="16"/>
      <c r="P37" s="16"/>
      <c r="Q37" s="16"/>
      <c r="R37" s="16"/>
      <c r="S37" s="16"/>
    </row>
    <row r="38" spans="1:19" ht="60">
      <c r="A38" s="111"/>
      <c r="B38" s="111"/>
      <c r="C38" s="112" t="s">
        <v>71</v>
      </c>
      <c r="D38" s="112" t="s">
        <v>72</v>
      </c>
      <c r="E38" s="113" t="s">
        <v>73</v>
      </c>
      <c r="F38" s="112" t="s">
        <v>74</v>
      </c>
      <c r="G38" s="113" t="s">
        <v>75</v>
      </c>
      <c r="H38" s="112" t="s">
        <v>76</v>
      </c>
      <c r="I38" s="113" t="s">
        <v>77</v>
      </c>
      <c r="J38" s="112" t="s">
        <v>78</v>
      </c>
      <c r="K38" s="113" t="s">
        <v>79</v>
      </c>
      <c r="L38" s="112" t="s">
        <v>80</v>
      </c>
      <c r="M38" s="113" t="s">
        <v>81</v>
      </c>
      <c r="N38" s="112" t="s">
        <v>82</v>
      </c>
      <c r="O38" s="113" t="s">
        <v>83</v>
      </c>
      <c r="P38" s="112" t="s">
        <v>84</v>
      </c>
      <c r="Q38" s="113" t="s">
        <v>85</v>
      </c>
      <c r="R38" s="114" t="s">
        <v>86</v>
      </c>
      <c r="S38" s="16"/>
    </row>
    <row r="39" spans="1:19">
      <c r="A39" s="115" t="s">
        <v>16</v>
      </c>
      <c r="B39" s="115" t="s">
        <v>87</v>
      </c>
      <c r="C39" s="116">
        <v>63022</v>
      </c>
      <c r="D39" s="116">
        <v>48310</v>
      </c>
      <c r="E39" s="117">
        <v>77.5</v>
      </c>
      <c r="F39" s="118">
        <v>39288</v>
      </c>
      <c r="G39" s="119">
        <f>F39/D39</f>
        <v>0.81324777478782861</v>
      </c>
      <c r="H39" s="116">
        <v>6209</v>
      </c>
      <c r="I39" s="120">
        <f>H39/D39</f>
        <v>0.12852411509004347</v>
      </c>
      <c r="J39" s="116">
        <v>2195</v>
      </c>
      <c r="K39" s="120">
        <f>J39/D39</f>
        <v>4.5435727592630926E-2</v>
      </c>
      <c r="L39" s="116">
        <v>618</v>
      </c>
      <c r="M39" s="120">
        <f>L39/D39</f>
        <v>1.2792382529496998E-2</v>
      </c>
      <c r="N39" s="121">
        <f>J39+L39</f>
        <v>2813</v>
      </c>
      <c r="O39" s="120">
        <f>N39/D39</f>
        <v>5.8228110122127925E-2</v>
      </c>
      <c r="P39" s="116">
        <v>40381</v>
      </c>
      <c r="Q39" s="120">
        <f>P39/D39</f>
        <v>0.83587249016766718</v>
      </c>
      <c r="R39" s="111">
        <v>0.7</v>
      </c>
      <c r="S39" s="16"/>
    </row>
    <row r="40" spans="1:19">
      <c r="A40" s="115" t="s">
        <v>17</v>
      </c>
      <c r="B40" s="115" t="s">
        <v>87</v>
      </c>
      <c r="C40" s="116">
        <v>62557</v>
      </c>
      <c r="D40" s="116">
        <v>47252</v>
      </c>
      <c r="E40" s="117">
        <v>76.5</v>
      </c>
      <c r="F40" s="118">
        <v>28350</v>
      </c>
      <c r="G40" s="119">
        <f t="shared" ref="G40:G41" si="0">F40/D40</f>
        <v>0.59997460424955562</v>
      </c>
      <c r="H40" s="116">
        <v>17318</v>
      </c>
      <c r="I40" s="120">
        <f t="shared" ref="I40:I41" si="1">H40/D40</f>
        <v>0.36650300516380258</v>
      </c>
      <c r="J40" s="116">
        <v>1472</v>
      </c>
      <c r="K40" s="120">
        <f t="shared" ref="K40:K41" si="2">J40/D40</f>
        <v>3.1152120545162108E-2</v>
      </c>
      <c r="L40" s="116">
        <v>112</v>
      </c>
      <c r="M40" s="120">
        <f t="shared" ref="M40:M41" si="3">L40/D40</f>
        <v>2.3702700414797257E-3</v>
      </c>
      <c r="N40" s="121">
        <f t="shared" ref="N40:N41" si="4">J40+L40</f>
        <v>1584</v>
      </c>
      <c r="O40" s="120">
        <f t="shared" ref="O40:O41" si="5">N40/D40</f>
        <v>3.3522390586641838E-2</v>
      </c>
      <c r="P40" s="116">
        <v>37584</v>
      </c>
      <c r="Q40" s="120">
        <f>P40/D40</f>
        <v>0.79539490391941081</v>
      </c>
      <c r="R40" s="111">
        <v>0.9</v>
      </c>
      <c r="S40" s="16"/>
    </row>
    <row r="41" spans="1:19">
      <c r="A41" s="115" t="s">
        <v>18</v>
      </c>
      <c r="B41" s="115" t="s">
        <v>87</v>
      </c>
      <c r="C41" s="116">
        <v>66384</v>
      </c>
      <c r="D41" s="116">
        <v>49947</v>
      </c>
      <c r="E41" s="117">
        <v>76.2</v>
      </c>
      <c r="F41" s="118">
        <v>13306</v>
      </c>
      <c r="G41" s="119">
        <f t="shared" si="0"/>
        <v>0.26640238652972148</v>
      </c>
      <c r="H41" s="116">
        <v>22130</v>
      </c>
      <c r="I41" s="120">
        <f t="shared" si="1"/>
        <v>0.44306965383306307</v>
      </c>
      <c r="J41" s="116">
        <v>10684</v>
      </c>
      <c r="K41" s="120">
        <f t="shared" si="2"/>
        <v>0.21390674114561434</v>
      </c>
      <c r="L41" s="116">
        <v>3827</v>
      </c>
      <c r="M41" s="120">
        <f t="shared" si="3"/>
        <v>7.6621218491601098E-2</v>
      </c>
      <c r="N41" s="121">
        <f t="shared" si="4"/>
        <v>14511</v>
      </c>
      <c r="O41" s="120">
        <f t="shared" si="5"/>
        <v>0.29052795963721545</v>
      </c>
      <c r="P41" s="116">
        <v>30335</v>
      </c>
      <c r="Q41" s="120">
        <f>P41/D41</f>
        <v>0.60734378441147618</v>
      </c>
      <c r="R41" s="111">
        <v>3.4</v>
      </c>
      <c r="S41" s="16"/>
    </row>
    <row r="42" spans="1:19">
      <c r="A42" s="122"/>
      <c r="B42" s="122"/>
      <c r="C42" s="122"/>
      <c r="D42" s="122"/>
      <c r="E42" s="122"/>
      <c r="F42" s="122"/>
      <c r="G42" s="122"/>
      <c r="H42" s="123"/>
      <c r="I42" s="123"/>
      <c r="J42" s="123"/>
      <c r="K42" s="123"/>
      <c r="L42" s="123"/>
      <c r="M42" s="123"/>
      <c r="N42" s="123"/>
      <c r="O42" s="123"/>
      <c r="P42" s="123"/>
      <c r="Q42" s="124"/>
      <c r="R42" s="122"/>
      <c r="S42" s="125"/>
    </row>
    <row r="43" spans="1:19">
      <c r="A43" s="126" t="s">
        <v>98</v>
      </c>
      <c r="B43" s="125"/>
      <c r="C43" s="125"/>
      <c r="D43" s="125"/>
      <c r="E43" s="125"/>
      <c r="F43" s="126" t="s">
        <v>99</v>
      </c>
      <c r="G43" s="125"/>
      <c r="H43" s="125"/>
      <c r="I43" s="125"/>
      <c r="J43" s="125"/>
      <c r="K43" s="126" t="s">
        <v>100</v>
      </c>
      <c r="L43" s="125"/>
      <c r="M43" s="16"/>
      <c r="N43" s="16"/>
      <c r="O43" s="16"/>
      <c r="P43" s="16"/>
      <c r="Q43" s="16"/>
      <c r="R43" s="16"/>
      <c r="S43" s="16"/>
    </row>
    <row r="44" spans="1:19">
      <c r="A44" s="114" t="s">
        <v>16</v>
      </c>
      <c r="B44" s="127" t="s">
        <v>88</v>
      </c>
      <c r="C44" s="128">
        <f>F39</f>
        <v>39288</v>
      </c>
      <c r="D44" s="129">
        <f>C44/D39</f>
        <v>0.81324777478782861</v>
      </c>
      <c r="E44" s="16"/>
      <c r="F44" s="130" t="s">
        <v>17</v>
      </c>
      <c r="G44" s="127" t="s">
        <v>88</v>
      </c>
      <c r="H44" s="128">
        <f>F40</f>
        <v>28350</v>
      </c>
      <c r="I44" s="131">
        <f>G40</f>
        <v>0.59997460424955562</v>
      </c>
      <c r="J44" s="16"/>
      <c r="K44" s="130" t="s">
        <v>18</v>
      </c>
      <c r="L44" s="130" t="s">
        <v>89</v>
      </c>
      <c r="M44" s="116">
        <f>H41/4</f>
        <v>5532.5</v>
      </c>
      <c r="N44" s="129"/>
      <c r="O44" s="16"/>
      <c r="P44" s="16"/>
      <c r="Q44" s="16"/>
      <c r="R44" s="16"/>
      <c r="S44" s="16"/>
    </row>
    <row r="45" spans="1:19">
      <c r="A45" s="111"/>
      <c r="B45" s="132" t="s">
        <v>90</v>
      </c>
      <c r="C45" s="133">
        <f>H39</f>
        <v>6209</v>
      </c>
      <c r="D45" s="134">
        <f>C45/D39</f>
        <v>0.12852411509004347</v>
      </c>
      <c r="E45" s="16"/>
      <c r="F45" s="111"/>
      <c r="G45" s="132" t="s">
        <v>90</v>
      </c>
      <c r="H45" s="133">
        <f>H40</f>
        <v>17318</v>
      </c>
      <c r="I45" s="135">
        <f>I40</f>
        <v>0.36650300516380258</v>
      </c>
      <c r="J45" s="16"/>
      <c r="K45" s="111"/>
      <c r="L45" s="111" t="s">
        <v>91</v>
      </c>
      <c r="M45" s="121">
        <f>D41-F41-(M44*2)</f>
        <v>25576</v>
      </c>
      <c r="N45" s="120">
        <f>M45/D41</f>
        <v>0.51206278655374693</v>
      </c>
      <c r="O45" s="16"/>
      <c r="P45" s="16"/>
      <c r="Q45" s="16"/>
      <c r="R45" s="16"/>
      <c r="S45" s="16"/>
    </row>
    <row r="46" spans="1:19">
      <c r="A46" s="111"/>
      <c r="B46" s="132" t="s">
        <v>92</v>
      </c>
      <c r="C46" s="133">
        <f>N39</f>
        <v>2813</v>
      </c>
      <c r="D46" s="134">
        <f>C46/D39</f>
        <v>5.8228110122127925E-2</v>
      </c>
      <c r="E46" s="16"/>
      <c r="F46" s="111"/>
      <c r="G46" s="132" t="s">
        <v>92</v>
      </c>
      <c r="H46" s="133">
        <f>N40</f>
        <v>1584</v>
      </c>
      <c r="I46" s="135">
        <f>O40</f>
        <v>3.3522390586641838E-2</v>
      </c>
      <c r="J46" s="16"/>
      <c r="K46" s="111"/>
      <c r="L46" s="136" t="s">
        <v>93</v>
      </c>
      <c r="M46" s="137">
        <f>D41-F41-M44*3</f>
        <v>20043.5</v>
      </c>
      <c r="N46" s="138">
        <f>M46/D41</f>
        <v>0.40129537309548119</v>
      </c>
      <c r="O46" s="16"/>
      <c r="P46" s="16"/>
      <c r="Q46" s="16"/>
      <c r="R46" s="16"/>
      <c r="S46" s="16"/>
    </row>
    <row r="47" spans="1:19">
      <c r="A47" s="111"/>
      <c r="B47" s="111" t="s">
        <v>94</v>
      </c>
      <c r="C47" s="121">
        <f>C45/4</f>
        <v>1552.25</v>
      </c>
      <c r="D47" s="120"/>
      <c r="E47" s="16"/>
      <c r="F47" s="111"/>
      <c r="G47" s="111" t="s">
        <v>94</v>
      </c>
      <c r="H47" s="121">
        <f>H45/4</f>
        <v>4329.5</v>
      </c>
      <c r="I47" s="111"/>
      <c r="J47" s="16"/>
      <c r="K47" s="111"/>
      <c r="L47" s="111" t="s">
        <v>92</v>
      </c>
      <c r="M47" s="121">
        <f>N41</f>
        <v>14511</v>
      </c>
      <c r="N47" s="120">
        <f>M47/D41</f>
        <v>0.29052795963721545</v>
      </c>
      <c r="O47" s="16"/>
      <c r="P47" s="16"/>
      <c r="Q47" s="16"/>
      <c r="R47" s="16"/>
      <c r="S47" s="16"/>
    </row>
    <row r="48" spans="1:19">
      <c r="A48" s="111"/>
      <c r="B48" s="139" t="s">
        <v>95</v>
      </c>
      <c r="C48" s="137">
        <f>D39-C44</f>
        <v>9022</v>
      </c>
      <c r="D48" s="138">
        <f>C48/D39</f>
        <v>0.18675222521217139</v>
      </c>
      <c r="E48" s="16"/>
      <c r="F48" s="111"/>
      <c r="G48" s="140" t="s">
        <v>95</v>
      </c>
      <c r="H48" s="121">
        <f>D40-H44</f>
        <v>18902</v>
      </c>
      <c r="I48" s="120">
        <f>H48/D40</f>
        <v>0.40002539575044443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>
      <c r="A49" s="111"/>
      <c r="B49" s="111" t="s">
        <v>96</v>
      </c>
      <c r="C49" s="121">
        <f>C46+C47*3</f>
        <v>7469.75</v>
      </c>
      <c r="D49" s="120">
        <f>C49/D39</f>
        <v>0.15462119643966052</v>
      </c>
      <c r="E49" s="16"/>
      <c r="F49" s="111"/>
      <c r="G49" s="136" t="s">
        <v>96</v>
      </c>
      <c r="H49" s="137">
        <f>H46+H47*3</f>
        <v>14572.5</v>
      </c>
      <c r="I49" s="138">
        <f>H49/D40</f>
        <v>0.3083996444594938</v>
      </c>
      <c r="J49" s="16"/>
      <c r="K49" s="16"/>
      <c r="L49" s="16"/>
      <c r="M49" s="141"/>
      <c r="N49" s="16"/>
      <c r="O49" s="16"/>
      <c r="P49" s="16"/>
      <c r="Q49" s="16"/>
      <c r="R49" s="16"/>
      <c r="S49" s="16"/>
    </row>
    <row r="50" spans="1:19">
      <c r="A50" s="111"/>
      <c r="B50" s="111" t="s">
        <v>91</v>
      </c>
      <c r="C50" s="121">
        <f>C46+C47*2</f>
        <v>5917.5</v>
      </c>
      <c r="D50" s="120">
        <f>C50/D39</f>
        <v>0.12249016766714965</v>
      </c>
      <c r="E50" s="16"/>
      <c r="F50" s="111"/>
      <c r="G50" s="111" t="s">
        <v>91</v>
      </c>
      <c r="H50" s="121">
        <f>H46+H47*2</f>
        <v>10243</v>
      </c>
      <c r="I50" s="120">
        <f>H50/D40</f>
        <v>0.21677389316854312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>
      <c r="A51" s="111"/>
      <c r="B51" s="111" t="s">
        <v>93</v>
      </c>
      <c r="C51" s="121">
        <f>C46+C47</f>
        <v>4365.25</v>
      </c>
      <c r="D51" s="120">
        <f>C51/D39</f>
        <v>9.0359138894638785E-2</v>
      </c>
      <c r="E51" s="16"/>
      <c r="F51" s="111"/>
      <c r="G51" s="111" t="s">
        <v>93</v>
      </c>
      <c r="H51" s="121">
        <f>H46+H47</f>
        <v>5913.5</v>
      </c>
      <c r="I51" s="120">
        <f>H51/D40</f>
        <v>0.12514814187759249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</sheetData>
  <mergeCells count="5">
    <mergeCell ref="P5:R5"/>
    <mergeCell ref="C27:D28"/>
    <mergeCell ref="H6:I6"/>
    <mergeCell ref="H7:I7"/>
    <mergeCell ref="K6:O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9D643-4F71-4A89-8174-DAF60A32C4EC}">
  <dimension ref="A1:M37"/>
  <sheetViews>
    <sheetView workbookViewId="0">
      <selection activeCell="F42" sqref="F42"/>
    </sheetView>
  </sheetViews>
  <sheetFormatPr baseColWidth="10" defaultRowHeight="15"/>
  <cols>
    <col min="1" max="1" width="32.140625" customWidth="1"/>
    <col min="3" max="3" width="12.28515625" customWidth="1"/>
    <col min="4" max="4" width="12" customWidth="1"/>
    <col min="5" max="5" width="12.85546875" customWidth="1"/>
    <col min="6" max="6" width="16" customWidth="1"/>
    <col min="7" max="7" width="15.7109375" customWidth="1"/>
    <col min="8" max="8" width="13.28515625" customWidth="1"/>
    <col min="9" max="9" width="13.85546875" customWidth="1"/>
    <col min="11" max="11" width="13" customWidth="1"/>
    <col min="12" max="12" width="23.28515625" customWidth="1"/>
    <col min="13" max="13" width="13" style="19" customWidth="1"/>
    <col min="14" max="14" width="12.7109375" customWidth="1"/>
    <col min="15" max="15" width="11.5703125" customWidth="1"/>
    <col min="16" max="16" width="10.28515625" customWidth="1"/>
    <col min="17" max="17" width="13.5703125" customWidth="1"/>
    <col min="18" max="19" width="12.5703125" customWidth="1"/>
  </cols>
  <sheetData>
    <row r="1" spans="1:10" ht="21">
      <c r="A1" s="81" t="s">
        <v>52</v>
      </c>
      <c r="B1" s="81"/>
      <c r="C1" s="81"/>
      <c r="D1" s="81"/>
      <c r="E1" s="81"/>
      <c r="F1" s="66"/>
      <c r="G1" s="19"/>
      <c r="H1" s="19"/>
      <c r="I1" s="19"/>
    </row>
    <row r="2" spans="1:10" s="19" customFormat="1" ht="25.5" customHeight="1">
      <c r="A2" s="82"/>
      <c r="B2" s="83"/>
      <c r="C2" s="83"/>
      <c r="D2" s="83"/>
      <c r="E2" s="83"/>
    </row>
    <row r="3" spans="1:10" s="19" customFormat="1" ht="18.75" customHeight="1">
      <c r="A3" s="265" t="s">
        <v>251</v>
      </c>
      <c r="B3" s="265"/>
      <c r="C3" s="265"/>
      <c r="D3" s="265"/>
      <c r="E3" s="265"/>
      <c r="F3" s="262"/>
      <c r="G3" s="262"/>
      <c r="H3" s="262"/>
    </row>
    <row r="4" spans="1:10" s="19" customFormat="1" ht="13.5" customHeight="1">
      <c r="A4" s="82"/>
      <c r="B4" s="83"/>
      <c r="C4" s="83"/>
      <c r="D4" s="83"/>
      <c r="E4" s="83"/>
    </row>
    <row r="5" spans="1:10" s="19" customFormat="1" ht="18" customHeight="1">
      <c r="A5" s="5" t="s">
        <v>249</v>
      </c>
      <c r="B5" s="5"/>
      <c r="C5" s="5"/>
      <c r="D5" s="5"/>
      <c r="E5" s="5"/>
    </row>
    <row r="6" spans="1:10" s="19" customFormat="1" ht="13.5" customHeight="1">
      <c r="A6" s="78"/>
      <c r="B6" s="79"/>
      <c r="C6" s="261" t="s">
        <v>33</v>
      </c>
      <c r="D6" s="343" t="s">
        <v>34</v>
      </c>
      <c r="E6" s="344"/>
    </row>
    <row r="7" spans="1:10" s="19" customFormat="1" ht="13.5" customHeight="1">
      <c r="A7" s="347" t="s">
        <v>48</v>
      </c>
      <c r="B7" s="348"/>
      <c r="C7" s="86">
        <v>3.34</v>
      </c>
      <c r="D7" s="349">
        <v>0.61783203847576762</v>
      </c>
      <c r="E7" s="350"/>
    </row>
    <row r="8" spans="1:10" s="19" customFormat="1" ht="13.5" customHeight="1">
      <c r="A8" s="351" t="s">
        <v>53</v>
      </c>
      <c r="B8" s="351"/>
      <c r="C8" s="86">
        <v>1.0580000000000001</v>
      </c>
      <c r="D8" s="352">
        <f>C8/C10</f>
        <v>0.19570847206807254</v>
      </c>
      <c r="E8" s="352"/>
    </row>
    <row r="9" spans="1:10" s="19" customFormat="1" ht="13.5" customHeight="1">
      <c r="A9" s="351" t="s">
        <v>54</v>
      </c>
      <c r="B9" s="351"/>
      <c r="C9" s="86">
        <v>1.008</v>
      </c>
      <c r="D9" s="352">
        <f>C9/C10</f>
        <v>0.18645948945615984</v>
      </c>
      <c r="E9" s="352"/>
    </row>
    <row r="10" spans="1:10" s="19" customFormat="1" ht="13.5" customHeight="1">
      <c r="A10" s="353" t="s">
        <v>55</v>
      </c>
      <c r="B10" s="353"/>
      <c r="C10" s="87">
        <v>5.4059999999999997</v>
      </c>
      <c r="D10" s="354">
        <f>SUM(D7:D9)</f>
        <v>1</v>
      </c>
      <c r="E10" s="355"/>
    </row>
    <row r="11" spans="1:10" s="19" customFormat="1" ht="13.5" customHeight="1">
      <c r="A11" s="270" t="s">
        <v>250</v>
      </c>
      <c r="B11" s="271"/>
      <c r="C11" s="271"/>
      <c r="D11" s="271"/>
      <c r="E11" s="271"/>
      <c r="F11" s="272"/>
      <c r="G11" s="272"/>
      <c r="H11" s="272"/>
    </row>
    <row r="12" spans="1:10" s="19" customFormat="1" ht="13.5" customHeight="1">
      <c r="A12" s="267"/>
      <c r="B12" s="267"/>
      <c r="C12" s="268"/>
      <c r="D12" s="269"/>
      <c r="E12" s="70"/>
    </row>
    <row r="13" spans="1:10" s="19" customFormat="1" ht="16.5" customHeight="1">
      <c r="A13" s="346" t="s">
        <v>245</v>
      </c>
      <c r="B13" s="346"/>
      <c r="C13" s="346"/>
      <c r="D13" s="346"/>
      <c r="E13" s="346"/>
      <c r="F13" s="346"/>
      <c r="G13" s="346"/>
      <c r="H13" s="346"/>
    </row>
    <row r="14" spans="1:10" s="19" customFormat="1" ht="16.5" customHeight="1">
      <c r="A14" s="346"/>
      <c r="B14" s="346"/>
      <c r="C14" s="346"/>
      <c r="D14" s="346"/>
      <c r="E14" s="346"/>
      <c r="F14" s="346"/>
      <c r="G14" s="346"/>
      <c r="H14" s="346"/>
    </row>
    <row r="15" spans="1:10" s="19" customFormat="1" ht="17.25" customHeight="1">
      <c r="A15" s="19" t="s">
        <v>246</v>
      </c>
    </row>
    <row r="16" spans="1:10" s="19" customFormat="1" ht="17.25" customHeight="1">
      <c r="A16" s="324" t="s">
        <v>247</v>
      </c>
      <c r="B16" s="324"/>
      <c r="C16" s="324"/>
      <c r="D16" s="324"/>
      <c r="E16" s="324"/>
      <c r="F16" s="324"/>
      <c r="G16" s="324"/>
      <c r="H16" s="324"/>
      <c r="I16" s="324"/>
      <c r="J16" s="324"/>
    </row>
    <row r="17" spans="1:10" s="19" customFormat="1" ht="17.25" customHeight="1">
      <c r="A17" s="275" t="s">
        <v>261</v>
      </c>
      <c r="B17" s="260"/>
      <c r="C17" s="260"/>
      <c r="D17" s="260"/>
      <c r="E17" s="260"/>
      <c r="F17" s="260"/>
      <c r="G17" s="260"/>
      <c r="H17" s="260"/>
      <c r="I17" s="260"/>
      <c r="J17" s="260"/>
    </row>
    <row r="18" spans="1:10" s="19" customFormat="1" ht="17.25" customHeight="1">
      <c r="A18" s="273" t="s">
        <v>259</v>
      </c>
      <c r="B18" s="273"/>
      <c r="C18" s="273"/>
      <c r="D18" s="273"/>
      <c r="E18" s="273"/>
      <c r="F18" s="273"/>
      <c r="G18" s="273"/>
      <c r="H18" s="273"/>
      <c r="I18" s="84"/>
    </row>
    <row r="19" spans="1:10" s="19" customFormat="1" ht="19.5" customHeight="1">
      <c r="A19" s="273" t="s">
        <v>260</v>
      </c>
      <c r="B19" s="273"/>
      <c r="C19" s="273"/>
      <c r="D19" s="274"/>
      <c r="E19" s="274"/>
      <c r="F19" s="273"/>
      <c r="G19" s="273"/>
      <c r="H19" s="273"/>
      <c r="I19" s="84"/>
    </row>
    <row r="20" spans="1:10">
      <c r="B20" s="85"/>
      <c r="G20" s="19"/>
    </row>
    <row r="21" spans="1:10" ht="18.75">
      <c r="A21" s="265" t="s">
        <v>248</v>
      </c>
      <c r="B21" s="265"/>
      <c r="C21" s="266"/>
      <c r="D21" s="266"/>
      <c r="E21" s="266"/>
      <c r="F21" s="266"/>
      <c r="G21" s="262"/>
      <c r="H21" s="262"/>
    </row>
    <row r="22" spans="1:10" s="19" customFormat="1" ht="14.25" customHeight="1">
      <c r="A22" s="263"/>
      <c r="B22" s="263"/>
      <c r="C22" s="264"/>
      <c r="D22" s="264"/>
      <c r="E22" s="264"/>
      <c r="F22" s="264"/>
    </row>
    <row r="23" spans="1:10">
      <c r="A23" t="s">
        <v>49</v>
      </c>
    </row>
    <row r="24" spans="1:10">
      <c r="A24" t="s">
        <v>50</v>
      </c>
    </row>
    <row r="26" spans="1:10">
      <c r="A26" s="1" t="s">
        <v>51</v>
      </c>
      <c r="B26" s="1"/>
      <c r="C26" s="1"/>
      <c r="D26" s="1"/>
      <c r="E26" s="1"/>
      <c r="F26" s="1"/>
      <c r="G26" s="1"/>
      <c r="H26" s="1"/>
    </row>
    <row r="27" spans="1:10" ht="46.5" customHeight="1">
      <c r="A27" s="51"/>
      <c r="B27" s="52" t="s">
        <v>19</v>
      </c>
      <c r="C27" s="258" t="s">
        <v>20</v>
      </c>
      <c r="D27" s="258" t="s">
        <v>21</v>
      </c>
      <c r="E27" s="258" t="s">
        <v>240</v>
      </c>
      <c r="F27" s="258" t="s">
        <v>258</v>
      </c>
      <c r="G27" s="258" t="s">
        <v>257</v>
      </c>
      <c r="H27" s="258" t="s">
        <v>241</v>
      </c>
      <c r="I27" s="258" t="s">
        <v>22</v>
      </c>
      <c r="J27" s="52" t="s">
        <v>23</v>
      </c>
    </row>
    <row r="28" spans="1:10">
      <c r="A28" s="53" t="s">
        <v>24</v>
      </c>
      <c r="B28" s="54"/>
      <c r="C28" s="54">
        <v>6</v>
      </c>
      <c r="D28" s="54">
        <v>8.1</v>
      </c>
      <c r="E28" s="54">
        <v>5</v>
      </c>
      <c r="F28" s="54">
        <v>3.2</v>
      </c>
      <c r="G28" s="54"/>
      <c r="H28" s="54"/>
      <c r="I28" s="77">
        <f>C28/D28</f>
        <v>0.74074074074074081</v>
      </c>
      <c r="J28" s="55">
        <f>D28/C28</f>
        <v>1.3499999999999999</v>
      </c>
    </row>
    <row r="29" spans="1:10">
      <c r="A29" s="50" t="s">
        <v>25</v>
      </c>
      <c r="B29" s="56"/>
      <c r="C29" s="56"/>
      <c r="D29" s="259">
        <v>3.9</v>
      </c>
      <c r="E29" s="56"/>
      <c r="F29" s="56"/>
      <c r="G29" s="56"/>
      <c r="H29" s="56"/>
      <c r="I29" s="57"/>
      <c r="J29" s="58"/>
    </row>
    <row r="30" spans="1:10" ht="29.25" customHeight="1">
      <c r="A30" s="59" t="s">
        <v>26</v>
      </c>
      <c r="B30" s="57">
        <v>0.39</v>
      </c>
      <c r="C30" s="56">
        <v>2.2000000000000002</v>
      </c>
      <c r="D30" s="60">
        <f>C30/I31</f>
        <v>3.4222222222222221</v>
      </c>
      <c r="E30" s="56"/>
      <c r="F30" s="56">
        <v>0.9</v>
      </c>
      <c r="G30" s="57">
        <v>0.69</v>
      </c>
      <c r="H30" s="56"/>
      <c r="I30" s="61">
        <f>C30/D30</f>
        <v>0.6428571428571429</v>
      </c>
      <c r="J30" s="58"/>
    </row>
    <row r="31" spans="1:10">
      <c r="A31" s="62" t="s">
        <v>27</v>
      </c>
      <c r="B31" s="77">
        <v>0.45</v>
      </c>
      <c r="C31" s="54">
        <v>1.8</v>
      </c>
      <c r="D31" s="55">
        <v>2.8</v>
      </c>
      <c r="E31" s="54"/>
      <c r="F31" s="54"/>
      <c r="G31" s="77"/>
      <c r="H31" s="54">
        <v>5.2</v>
      </c>
      <c r="I31" s="77">
        <f>C31/D31</f>
        <v>0.6428571428571429</v>
      </c>
      <c r="J31" s="55">
        <f>D31/C31</f>
        <v>1.5555555555555554</v>
      </c>
    </row>
    <row r="32" spans="1:10">
      <c r="A32" s="50" t="s">
        <v>28</v>
      </c>
      <c r="B32" s="57">
        <v>0.5</v>
      </c>
      <c r="C32" s="56"/>
      <c r="D32" s="58">
        <v>2.5</v>
      </c>
      <c r="E32" s="56"/>
      <c r="F32" s="56"/>
      <c r="G32" s="57"/>
      <c r="H32" s="56"/>
      <c r="I32" s="50"/>
      <c r="J32" s="50"/>
    </row>
    <row r="33" spans="1:11">
      <c r="A33" s="53" t="s">
        <v>29</v>
      </c>
      <c r="B33" s="77">
        <v>0.27</v>
      </c>
      <c r="C33" s="54">
        <v>3.4</v>
      </c>
      <c r="D33" s="63">
        <f>C33/I31</f>
        <v>5.2888888888888888</v>
      </c>
      <c r="E33" s="54"/>
      <c r="F33" s="54"/>
      <c r="G33" s="54"/>
      <c r="H33" s="54"/>
      <c r="I33" s="64">
        <f>C33/D33</f>
        <v>0.6428571428571429</v>
      </c>
      <c r="J33" s="53"/>
    </row>
    <row r="34" spans="1:11">
      <c r="A34" s="50" t="s">
        <v>30</v>
      </c>
      <c r="B34" s="56"/>
      <c r="C34" s="56">
        <v>4.9000000000000004</v>
      </c>
      <c r="D34" s="58"/>
      <c r="E34" s="56"/>
      <c r="F34" s="56"/>
      <c r="G34" s="56"/>
      <c r="H34" s="56"/>
      <c r="I34" s="65"/>
      <c r="J34" s="50"/>
    </row>
    <row r="35" spans="1:11" ht="18" customHeight="1">
      <c r="A35" s="345" t="s">
        <v>229</v>
      </c>
      <c r="B35" s="345"/>
      <c r="C35" s="345"/>
      <c r="D35" s="345"/>
      <c r="E35" s="345"/>
      <c r="F35" s="345"/>
      <c r="G35" s="345"/>
      <c r="H35" s="345"/>
      <c r="I35" s="345"/>
      <c r="J35" s="179">
        <v>1.5</v>
      </c>
      <c r="K35" t="s">
        <v>242</v>
      </c>
    </row>
    <row r="36" spans="1:11">
      <c r="A36" s="178" t="s">
        <v>31</v>
      </c>
      <c r="B36" s="17"/>
    </row>
    <row r="37" spans="1:11" ht="16.5" customHeight="1">
      <c r="A37" s="311" t="s">
        <v>32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</row>
  </sheetData>
  <mergeCells count="13">
    <mergeCell ref="D6:E6"/>
    <mergeCell ref="A37:K37"/>
    <mergeCell ref="A35:I35"/>
    <mergeCell ref="A13:H14"/>
    <mergeCell ref="A16:J16"/>
    <mergeCell ref="A7:B7"/>
    <mergeCell ref="D7:E7"/>
    <mergeCell ref="A8:B8"/>
    <mergeCell ref="D8:E8"/>
    <mergeCell ref="A9:B9"/>
    <mergeCell ref="D9:E9"/>
    <mergeCell ref="A10:B10"/>
    <mergeCell ref="D10:E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9CE3B-23DA-411B-A7A3-A73173AADE05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1. Budsjettkostnader</vt:lpstr>
      <vt:lpstr>2. Kostnadseffektivitet</vt:lpstr>
      <vt:lpstr>3. Tannhelsedata 2017</vt:lpstr>
      <vt:lpstr>4. Fra beregning om FF</vt:lpstr>
      <vt:lpstr>Ark1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Ragnhild Elin Nordengen</dc:creator>
  <cp:lastModifiedBy>Ragnhild Elin Nordengen</cp:lastModifiedBy>
  <dcterms:created xsi:type="dcterms:W3CDTF">2016-11-06T16:11:39Z</dcterms:created>
  <dcterms:modified xsi:type="dcterms:W3CDTF">2018-12-11T13:49:57Z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360.helsedirektoratet.no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16393799</vt:lpwstr>
  </property>
  <property fmtid="{D5CDD505-2E9C-101B-9397-08002B2CF9AE}" pid="7" name="VerID">
    <vt:lpwstr>0</vt:lpwstr>
  </property>
  <property fmtid="{D5CDD505-2E9C-101B-9397-08002B2CF9AE}" pid="8" name="FilePath">
    <vt:lpwstr>\\shdir.no\root\intern\o\360\360users\work\shdir\ranor</vt:lpwstr>
  </property>
  <property fmtid="{D5CDD505-2E9C-101B-9397-08002B2CF9AE}" pid="9" name="FileName">
    <vt:lpwstr>16-30860-24 Vedlegg 4 Beregning kostnader fluorlakk_RLstyret 13.12.16 16393799_13573619_0.XLSX</vt:lpwstr>
  </property>
  <property fmtid="{D5CDD505-2E9C-101B-9397-08002B2CF9AE}" pid="10" name="FullFileName">
    <vt:lpwstr>\\shdir.no\root\intern\o\360\360users\work\shdir\ranor\16-30860-24 Vedlegg 4 Beregning kostnader fluorlakk_RLstyret 13.12.16 16393799_13573619_0.XLSX</vt:lpwstr>
  </property>
</Properties>
</file>