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helsedir-my.sharepoint.com/personal/sara_konstanse_kristianslund_helsedir_no/Documents/ADHD/Leveranse/"/>
    </mc:Choice>
  </mc:AlternateContent>
  <xr:revisionPtr revIDLastSave="0" documentId="8_{2A3AC26F-4AEE-4378-A65C-99C4B63C947D}" xr6:coauthVersionLast="47" xr6:coauthVersionMax="47" xr10:uidLastSave="{00000000-0000-0000-0000-000000000000}"/>
  <bookViews>
    <workbookView xWindow="9480" yWindow="3975" windowWidth="38700" windowHeight="15285" tabRatio="451" firstSheet="8" activeTab="13" xr2:uid="{00000000-000D-0000-FFFF-FFFF00000000}"/>
  </bookViews>
  <sheets>
    <sheet name="Ark1" sheetId="21" r:id="rId1"/>
    <sheet name="Forside" sheetId="1" r:id="rId2"/>
    <sheet name="Tallgrunnlag inputdata" sheetId="2" r:id="rId3"/>
    <sheet name="Overordnet tiltak" sheetId="17" r:id="rId4"/>
    <sheet name="T1 - Styrke lavterskel helsetj." sheetId="3" r:id="rId5"/>
    <sheet name="T2 - Foreldrestøttende tiltak" sheetId="10" r:id="rId6"/>
    <sheet name="T3 - BTI-modellen" sheetId="16" r:id="rId7"/>
    <sheet name="T4 - Tydeliggjøre forventninger" sheetId="11" r:id="rId8"/>
    <sheet name="T5 - Standardisering av praksis" sheetId="12" r:id="rId9"/>
    <sheet name="T6 - Styrke komp. fritid" sheetId="15" r:id="rId10"/>
    <sheet name="T7 - Implementere SKILLS" sheetId="18" r:id="rId11"/>
    <sheet name="ARKIV - Psykoedukasjon" sheetId="20" state="hidden" r:id="rId12"/>
    <sheet name="ARKIV - Psykoedukasjon 2" sheetId="13" state="hidden" r:id="rId13"/>
    <sheet name="0-17 år per kommune" sheetId="19" r:id="rId14"/>
  </sheets>
  <definedNames>
    <definedName name="_xlnm._FilterDatabase" localSheetId="13" hidden="1">'0-17 år per kommune'!$A$5:$D$5</definedName>
    <definedName name="_Toc224912474" localSheetId="0">'Ark1'!$B$9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4" i="1"/>
  <c r="C17" i="1"/>
  <c r="C15" i="1"/>
  <c r="C19" i="1"/>
  <c r="B271" i="2"/>
  <c r="B259" i="2"/>
  <c r="H6" i="11" s="1"/>
  <c r="J5" i="11"/>
  <c r="I5" i="11"/>
  <c r="H5" i="11"/>
  <c r="J5" i="10"/>
  <c r="I5" i="10"/>
  <c r="H5" i="10"/>
  <c r="B166" i="2"/>
  <c r="B160" i="2"/>
  <c r="B144" i="2"/>
  <c r="B123" i="2"/>
  <c r="G8" i="19"/>
  <c r="G9" i="19" s="1"/>
  <c r="G10" i="19" s="1"/>
  <c r="G11" i="19" s="1"/>
  <c r="B374" i="2"/>
  <c r="B376" i="2" s="1"/>
  <c r="G6" i="11" l="1"/>
  <c r="J6" i="11"/>
  <c r="I6" i="11"/>
  <c r="F6" i="11" s="1"/>
  <c r="B286" i="2"/>
  <c r="H4" i="12" s="1"/>
  <c r="H5" i="12" s="1"/>
  <c r="B285" i="2"/>
  <c r="G4" i="12" s="1"/>
  <c r="G5" i="12" s="1"/>
  <c r="B62" i="2"/>
  <c r="B37" i="2"/>
  <c r="B38" i="2" s="1"/>
  <c r="B48" i="2"/>
  <c r="G7" i="19"/>
  <c r="H3" i="19" s="1"/>
  <c r="C16" i="19" s="1"/>
  <c r="C9" i="19"/>
  <c r="C10" i="19"/>
  <c r="C90" i="19"/>
  <c r="C91" i="19"/>
  <c r="C169" i="19"/>
  <c r="C185" i="19"/>
  <c r="C219" i="19"/>
  <c r="C233" i="19"/>
  <c r="C234" i="19"/>
  <c r="C281" i="19"/>
  <c r="C282" i="19"/>
  <c r="C283" i="19"/>
  <c r="C322" i="19"/>
  <c r="C323" i="19"/>
  <c r="C337" i="19"/>
  <c r="D23" i="2"/>
  <c r="C23" i="2" s="1"/>
  <c r="B23" i="2" s="1"/>
  <c r="B311" i="2" s="1"/>
  <c r="G5" i="15" s="1"/>
  <c r="D13" i="2"/>
  <c r="C13" i="2" s="1"/>
  <c r="B13" i="2" s="1"/>
  <c r="C20" i="2"/>
  <c r="B20" i="2" s="1"/>
  <c r="D15" i="2"/>
  <c r="L27" i="2"/>
  <c r="C14" i="2"/>
  <c r="B14" i="2" s="1"/>
  <c r="B229" i="2" s="1"/>
  <c r="C16" i="2"/>
  <c r="B16" i="2" s="1"/>
  <c r="C17" i="2"/>
  <c r="B17" i="2" s="1"/>
  <c r="C18" i="2"/>
  <c r="B18" i="2" s="1"/>
  <c r="C19" i="2"/>
  <c r="B19" i="2" s="1"/>
  <c r="C21" i="2"/>
  <c r="B21" i="2" s="1"/>
  <c r="C22" i="2"/>
  <c r="B22" i="2" s="1"/>
  <c r="C12" i="2"/>
  <c r="B12" i="2" s="1"/>
  <c r="B167" i="2" s="1"/>
  <c r="B437" i="2"/>
  <c r="B418" i="2"/>
  <c r="B420" i="2" s="1"/>
  <c r="B434" i="2"/>
  <c r="B436" i="2" s="1"/>
  <c r="B423" i="2"/>
  <c r="B396" i="2"/>
  <c r="B398" i="2" s="1"/>
  <c r="B216" i="2"/>
  <c r="B205" i="2"/>
  <c r="B180" i="2"/>
  <c r="B173" i="2"/>
  <c r="B188" i="2" s="1"/>
  <c r="B49" i="16"/>
  <c r="B253" i="16"/>
  <c r="B219" i="16"/>
  <c r="B215" i="16"/>
  <c r="B172" i="16"/>
  <c r="B156" i="16"/>
  <c r="B128" i="16"/>
  <c r="B77" i="16"/>
  <c r="B329" i="2"/>
  <c r="B350" i="2"/>
  <c r="B91" i="2"/>
  <c r="B363" i="2"/>
  <c r="B364" i="2" s="1"/>
  <c r="C155" i="19" l="1"/>
  <c r="C267" i="19"/>
  <c r="C203" i="19"/>
  <c r="C154" i="19"/>
  <c r="C74" i="19"/>
  <c r="C75" i="19"/>
  <c r="C321" i="19"/>
  <c r="C351" i="19"/>
  <c r="C42" i="19"/>
  <c r="C361" i="19"/>
  <c r="C360" i="19"/>
  <c r="C312" i="19"/>
  <c r="C266" i="19"/>
  <c r="C202" i="19"/>
  <c r="C139" i="19"/>
  <c r="C59" i="19"/>
  <c r="C311" i="19"/>
  <c r="C250" i="19"/>
  <c r="C201" i="19"/>
  <c r="C138" i="19"/>
  <c r="C347" i="19"/>
  <c r="C307" i="19"/>
  <c r="C249" i="19"/>
  <c r="C187" i="19"/>
  <c r="C123" i="19"/>
  <c r="C27" i="19"/>
  <c r="C346" i="19"/>
  <c r="C296" i="19"/>
  <c r="C235" i="19"/>
  <c r="C186" i="19"/>
  <c r="C106" i="19"/>
  <c r="C26" i="19"/>
  <c r="C336" i="19"/>
  <c r="C298" i="19"/>
  <c r="C265" i="19"/>
  <c r="C218" i="19"/>
  <c r="C171" i="19"/>
  <c r="C122" i="19"/>
  <c r="C58" i="19"/>
  <c r="C362" i="19"/>
  <c r="C335" i="19"/>
  <c r="C297" i="19"/>
  <c r="C251" i="19"/>
  <c r="C217" i="19"/>
  <c r="C170" i="19"/>
  <c r="C107" i="19"/>
  <c r="C43" i="19"/>
  <c r="C121" i="19"/>
  <c r="C73" i="19"/>
  <c r="C41" i="19"/>
  <c r="C359" i="19"/>
  <c r="C306" i="19"/>
  <c r="C264" i="19"/>
  <c r="C232" i="19"/>
  <c r="C168" i="19"/>
  <c r="C136" i="19"/>
  <c r="C88" i="19"/>
  <c r="C72" i="19"/>
  <c r="C40" i="19"/>
  <c r="C355" i="19"/>
  <c r="C344" i="19"/>
  <c r="C330" i="19"/>
  <c r="C319" i="19"/>
  <c r="C305" i="19"/>
  <c r="C290" i="19"/>
  <c r="C275" i="19"/>
  <c r="C259" i="19"/>
  <c r="C243" i="19"/>
  <c r="C227" i="19"/>
  <c r="C211" i="19"/>
  <c r="C195" i="19"/>
  <c r="C179" i="19"/>
  <c r="C163" i="19"/>
  <c r="C147" i="19"/>
  <c r="C131" i="19"/>
  <c r="C115" i="19"/>
  <c r="C99" i="19"/>
  <c r="C83" i="19"/>
  <c r="C67" i="19"/>
  <c r="C51" i="19"/>
  <c r="C35" i="19"/>
  <c r="C19" i="19"/>
  <c r="C320" i="19"/>
  <c r="C291" i="19"/>
  <c r="C248" i="19"/>
  <c r="C184" i="19"/>
  <c r="C120" i="19"/>
  <c r="C24" i="19"/>
  <c r="C354" i="19"/>
  <c r="C343" i="19"/>
  <c r="C329" i="19"/>
  <c r="C315" i="19"/>
  <c r="C304" i="19"/>
  <c r="C289" i="19"/>
  <c r="C274" i="19"/>
  <c r="C258" i="19"/>
  <c r="C242" i="19"/>
  <c r="C226" i="19"/>
  <c r="C210" i="19"/>
  <c r="C194" i="19"/>
  <c r="C178" i="19"/>
  <c r="C162" i="19"/>
  <c r="C146" i="19"/>
  <c r="C130" i="19"/>
  <c r="C114" i="19"/>
  <c r="C98" i="19"/>
  <c r="C82" i="19"/>
  <c r="C66" i="19"/>
  <c r="C50" i="19"/>
  <c r="C34" i="19"/>
  <c r="C18" i="19"/>
  <c r="C137" i="19"/>
  <c r="C89" i="19"/>
  <c r="C25" i="19"/>
  <c r="C331" i="19"/>
  <c r="C280" i="19"/>
  <c r="C216" i="19"/>
  <c r="C152" i="19"/>
  <c r="C104" i="19"/>
  <c r="C56" i="19"/>
  <c r="C353" i="19"/>
  <c r="C328" i="19"/>
  <c r="C303" i="19"/>
  <c r="C273" i="19"/>
  <c r="C241" i="19"/>
  <c r="C209" i="19"/>
  <c r="C193" i="19"/>
  <c r="C177" i="19"/>
  <c r="C161" i="19"/>
  <c r="C145" i="19"/>
  <c r="C129" i="19"/>
  <c r="C113" i="19"/>
  <c r="C97" i="19"/>
  <c r="C81" i="19"/>
  <c r="C65" i="19"/>
  <c r="C49" i="19"/>
  <c r="C33" i="19"/>
  <c r="C17" i="19"/>
  <c r="C153" i="19"/>
  <c r="C105" i="19"/>
  <c r="C57" i="19"/>
  <c r="C345" i="19"/>
  <c r="C200" i="19"/>
  <c r="C339" i="19"/>
  <c r="C314" i="19"/>
  <c r="C288" i="19"/>
  <c r="C257" i="19"/>
  <c r="C225" i="19"/>
  <c r="C363" i="19"/>
  <c r="C352" i="19"/>
  <c r="C338" i="19"/>
  <c r="C327" i="19"/>
  <c r="C313" i="19"/>
  <c r="C299" i="19"/>
  <c r="C287" i="19"/>
  <c r="C272" i="19"/>
  <c r="C256" i="19"/>
  <c r="C240" i="19"/>
  <c r="C224" i="19"/>
  <c r="C208" i="19"/>
  <c r="C192" i="19"/>
  <c r="C176" i="19"/>
  <c r="C160" i="19"/>
  <c r="C144" i="19"/>
  <c r="C128" i="19"/>
  <c r="C112" i="19"/>
  <c r="C96" i="19"/>
  <c r="C80" i="19"/>
  <c r="C64" i="19"/>
  <c r="C48" i="19"/>
  <c r="C32" i="19"/>
  <c r="C15" i="2"/>
  <c r="B15" i="2" s="1"/>
  <c r="B32" i="2" s="1"/>
  <c r="G4" i="17" s="1"/>
  <c r="B141" i="2"/>
  <c r="B145" i="2" s="1"/>
  <c r="G4" i="10" s="1"/>
  <c r="B439" i="2"/>
  <c r="B442" i="2" s="1"/>
  <c r="B377" i="2"/>
  <c r="B379" i="2" s="1"/>
  <c r="B382" i="2" s="1"/>
  <c r="B383" i="2" s="1"/>
  <c r="F5" i="12"/>
  <c r="C12" i="19"/>
  <c r="C20" i="19"/>
  <c r="C28" i="19"/>
  <c r="C36" i="19"/>
  <c r="C44" i="19"/>
  <c r="C52" i="19"/>
  <c r="C60" i="19"/>
  <c r="C68" i="19"/>
  <c r="C76" i="19"/>
  <c r="C84" i="19"/>
  <c r="C92" i="19"/>
  <c r="C100" i="19"/>
  <c r="C108" i="19"/>
  <c r="C116" i="19"/>
  <c r="C124" i="19"/>
  <c r="C132" i="19"/>
  <c r="C140" i="19"/>
  <c r="C148" i="19"/>
  <c r="C156" i="19"/>
  <c r="C164" i="19"/>
  <c r="C172" i="19"/>
  <c r="C180" i="19"/>
  <c r="C188" i="19"/>
  <c r="C196" i="19"/>
  <c r="C204" i="19"/>
  <c r="C212" i="19"/>
  <c r="C220" i="19"/>
  <c r="C228" i="19"/>
  <c r="C236" i="19"/>
  <c r="C244" i="19"/>
  <c r="C252" i="19"/>
  <c r="C260" i="19"/>
  <c r="C268" i="19"/>
  <c r="C276" i="19"/>
  <c r="C284" i="19"/>
  <c r="C292" i="19"/>
  <c r="C300" i="19"/>
  <c r="C308" i="19"/>
  <c r="C316" i="19"/>
  <c r="C324" i="19"/>
  <c r="C332" i="19"/>
  <c r="C340" i="19"/>
  <c r="C348" i="19"/>
  <c r="C356" i="19"/>
  <c r="C364" i="19"/>
  <c r="C341" i="19"/>
  <c r="C357" i="19"/>
  <c r="C6" i="19"/>
  <c r="C22" i="19"/>
  <c r="C30" i="19"/>
  <c r="C46" i="19"/>
  <c r="C62" i="19"/>
  <c r="C70" i="19"/>
  <c r="C94" i="19"/>
  <c r="C110" i="19"/>
  <c r="C134" i="19"/>
  <c r="C150" i="19"/>
  <c r="C166" i="19"/>
  <c r="C182" i="19"/>
  <c r="C198" i="19"/>
  <c r="C214" i="19"/>
  <c r="C230" i="19"/>
  <c r="C254" i="19"/>
  <c r="C270" i="19"/>
  <c r="C294" i="19"/>
  <c r="C310" i="19"/>
  <c r="C334" i="19"/>
  <c r="C350" i="19"/>
  <c r="C15" i="19"/>
  <c r="C31" i="19"/>
  <c r="C47" i="19"/>
  <c r="C63" i="19"/>
  <c r="C79" i="19"/>
  <c r="C95" i="19"/>
  <c r="C119" i="19"/>
  <c r="C143" i="19"/>
  <c r="C159" i="19"/>
  <c r="C175" i="19"/>
  <c r="C191" i="19"/>
  <c r="C207" i="19"/>
  <c r="C223" i="19"/>
  <c r="C247" i="19"/>
  <c r="C263" i="19"/>
  <c r="C279" i="19"/>
  <c r="C295" i="19"/>
  <c r="C13" i="19"/>
  <c r="C21" i="19"/>
  <c r="C29" i="19"/>
  <c r="C37" i="19"/>
  <c r="C45" i="19"/>
  <c r="C53" i="19"/>
  <c r="C61" i="19"/>
  <c r="C69" i="19"/>
  <c r="C77" i="19"/>
  <c r="C85" i="19"/>
  <c r="C93" i="19"/>
  <c r="C101" i="19"/>
  <c r="C109" i="19"/>
  <c r="C117" i="19"/>
  <c r="C125" i="19"/>
  <c r="C133" i="19"/>
  <c r="C141" i="19"/>
  <c r="C149" i="19"/>
  <c r="C157" i="19"/>
  <c r="C165" i="19"/>
  <c r="C173" i="19"/>
  <c r="C181" i="19"/>
  <c r="C189" i="19"/>
  <c r="C197" i="19"/>
  <c r="C205" i="19"/>
  <c r="C213" i="19"/>
  <c r="C221" i="19"/>
  <c r="C229" i="19"/>
  <c r="C237" i="19"/>
  <c r="C245" i="19"/>
  <c r="C253" i="19"/>
  <c r="C261" i="19"/>
  <c r="C269" i="19"/>
  <c r="C277" i="19"/>
  <c r="C285" i="19"/>
  <c r="C293" i="19"/>
  <c r="C301" i="19"/>
  <c r="C309" i="19"/>
  <c r="C317" i="19"/>
  <c r="C325" i="19"/>
  <c r="C333" i="19"/>
  <c r="C349" i="19"/>
  <c r="C365" i="19"/>
  <c r="C14" i="19"/>
  <c r="C38" i="19"/>
  <c r="C54" i="19"/>
  <c r="C86" i="19"/>
  <c r="C102" i="19"/>
  <c r="C118" i="19"/>
  <c r="C126" i="19"/>
  <c r="C142" i="19"/>
  <c r="C158" i="19"/>
  <c r="C174" i="19"/>
  <c r="C190" i="19"/>
  <c r="C206" i="19"/>
  <c r="C222" i="19"/>
  <c r="C238" i="19"/>
  <c r="C246" i="19"/>
  <c r="C262" i="19"/>
  <c r="C278" i="19"/>
  <c r="C286" i="19"/>
  <c r="C302" i="19"/>
  <c r="C318" i="19"/>
  <c r="C326" i="19"/>
  <c r="C342" i="19"/>
  <c r="C358" i="19"/>
  <c r="C23" i="19"/>
  <c r="C39" i="19"/>
  <c r="C55" i="19"/>
  <c r="C71" i="19"/>
  <c r="C87" i="19"/>
  <c r="C103" i="19"/>
  <c r="C111" i="19"/>
  <c r="C127" i="19"/>
  <c r="C135" i="19"/>
  <c r="C151" i="19"/>
  <c r="C167" i="19"/>
  <c r="C183" i="19"/>
  <c r="C199" i="19"/>
  <c r="C215" i="19"/>
  <c r="C231" i="19"/>
  <c r="C239" i="19"/>
  <c r="C255" i="19"/>
  <c r="C271" i="19"/>
  <c r="C78" i="19"/>
  <c r="C7" i="19"/>
  <c r="C8" i="19"/>
  <c r="C11" i="19"/>
  <c r="H6" i="17"/>
  <c r="B126" i="2"/>
  <c r="B183" i="2"/>
  <c r="B184" i="2" s="1"/>
  <c r="G4" i="16" s="1"/>
  <c r="B194" i="2"/>
  <c r="B208" i="2"/>
  <c r="B219" i="2"/>
  <c r="B426" i="2"/>
  <c r="B427" i="2" s="1"/>
  <c r="I7" i="18" s="1"/>
  <c r="B225" i="2"/>
  <c r="B230" i="2" s="1"/>
  <c r="J8" i="16" s="1"/>
  <c r="B213" i="2"/>
  <c r="B201" i="2"/>
  <c r="B47" i="16"/>
  <c r="B58" i="2" l="1"/>
  <c r="B332" i="2"/>
  <c r="J7" i="15" s="1"/>
  <c r="B41" i="2"/>
  <c r="B411" i="2"/>
  <c r="H6" i="18" s="1"/>
  <c r="B154" i="2"/>
  <c r="B451" i="2"/>
  <c r="H9" i="18" s="1"/>
  <c r="B343" i="2"/>
  <c r="G8" i="15" s="1"/>
  <c r="F8" i="15" s="1"/>
  <c r="B134" i="2"/>
  <c r="B127" i="2"/>
  <c r="H4" i="13"/>
  <c r="H5" i="13" s="1"/>
  <c r="J4" i="13"/>
  <c r="J5" i="13" s="1"/>
  <c r="G4" i="13"/>
  <c r="G5" i="13" s="1"/>
  <c r="I4" i="13"/>
  <c r="I5" i="13" s="1"/>
  <c r="F4" i="16"/>
  <c r="F4" i="17"/>
  <c r="F6" i="17"/>
  <c r="H7" i="17"/>
  <c r="B209" i="2"/>
  <c r="I6" i="16" s="1"/>
  <c r="B220" i="2"/>
  <c r="H7" i="16" s="1"/>
  <c r="B443" i="2"/>
  <c r="I8" i="18" s="1"/>
  <c r="H7" i="15"/>
  <c r="B195" i="2"/>
  <c r="B196" i="2" s="1"/>
  <c r="B197" i="2" s="1"/>
  <c r="G5" i="16" s="1"/>
  <c r="F5" i="16" s="1"/>
  <c r="B402" i="2"/>
  <c r="H7" i="18"/>
  <c r="J7" i="18"/>
  <c r="G7" i="18"/>
  <c r="G5" i="17"/>
  <c r="F5" i="17" s="1"/>
  <c r="I8" i="16"/>
  <c r="H8" i="16"/>
  <c r="B321" i="2"/>
  <c r="B299" i="2"/>
  <c r="G4" i="15" s="1"/>
  <c r="G9" i="18" l="1"/>
  <c r="J9" i="18"/>
  <c r="G6" i="18"/>
  <c r="I9" i="18"/>
  <c r="J6" i="18"/>
  <c r="I7" i="15"/>
  <c r="F7" i="15" s="1"/>
  <c r="I6" i="18"/>
  <c r="G9" i="16"/>
  <c r="I11" i="3"/>
  <c r="J11" i="3"/>
  <c r="H11" i="3"/>
  <c r="B324" i="2"/>
  <c r="B325" i="2" s="1"/>
  <c r="J6" i="15" s="1"/>
  <c r="B323" i="2"/>
  <c r="G7" i="17"/>
  <c r="F7" i="17" s="1"/>
  <c r="H6" i="16"/>
  <c r="H9" i="16" s="1"/>
  <c r="J6" i="16"/>
  <c r="H8" i="18"/>
  <c r="G8" i="18"/>
  <c r="I7" i="16"/>
  <c r="I9" i="16" s="1"/>
  <c r="J7" i="16"/>
  <c r="J8" i="18"/>
  <c r="B353" i="2"/>
  <c r="G9" i="15" s="1"/>
  <c r="F9" i="15" s="1"/>
  <c r="B365" i="2"/>
  <c r="G4" i="18"/>
  <c r="B403" i="2"/>
  <c r="F7" i="18"/>
  <c r="F8" i="16"/>
  <c r="F4" i="15"/>
  <c r="F9" i="18" l="1"/>
  <c r="F6" i="18"/>
  <c r="J9" i="16"/>
  <c r="F9" i="16" s="1"/>
  <c r="F9" i="17"/>
  <c r="C12" i="1" s="1"/>
  <c r="F4" i="18"/>
  <c r="G10" i="18"/>
  <c r="F6" i="16"/>
  <c r="F8" i="18"/>
  <c r="F7" i="16"/>
  <c r="G6" i="15"/>
  <c r="G11" i="15" s="1"/>
  <c r="H6" i="15"/>
  <c r="H5" i="18"/>
  <c r="H10" i="18" s="1"/>
  <c r="I5" i="18"/>
  <c r="I10" i="18" s="1"/>
  <c r="J5" i="18"/>
  <c r="J10" i="18" s="1"/>
  <c r="J10" i="15"/>
  <c r="I10" i="15"/>
  <c r="H10" i="15"/>
  <c r="B312" i="2"/>
  <c r="J5" i="15" s="1"/>
  <c r="I6" i="15"/>
  <c r="J11" i="15" l="1"/>
  <c r="F11" i="16"/>
  <c r="F10" i="18"/>
  <c r="F6" i="15"/>
  <c r="F10" i="15"/>
  <c r="F5" i="18"/>
  <c r="I5" i="15"/>
  <c r="I11" i="15" s="1"/>
  <c r="H5" i="15"/>
  <c r="H11" i="15" s="1"/>
  <c r="G7" i="20"/>
  <c r="G5" i="20"/>
  <c r="F5" i="20" s="1"/>
  <c r="B251" i="2"/>
  <c r="B252" i="2" s="1"/>
  <c r="B250" i="2"/>
  <c r="G4" i="11" s="1"/>
  <c r="F5" i="10"/>
  <c r="B241" i="2"/>
  <c r="B266" i="2" s="1"/>
  <c r="B66" i="2"/>
  <c r="G5" i="3" s="1"/>
  <c r="G4" i="3"/>
  <c r="B105" i="2"/>
  <c r="B106" i="2" s="1"/>
  <c r="G11" i="3"/>
  <c r="F11" i="3" s="1"/>
  <c r="B115" i="2"/>
  <c r="G10" i="3" s="1"/>
  <c r="F10" i="3" s="1"/>
  <c r="B86" i="2"/>
  <c r="G7" i="3" s="1"/>
  <c r="F7" i="3" s="1"/>
  <c r="B96" i="2"/>
  <c r="I8" i="3" s="1"/>
  <c r="B95" i="2"/>
  <c r="G8" i="3" s="1"/>
  <c r="B77" i="2"/>
  <c r="G6" i="3" s="1"/>
  <c r="B67" i="2"/>
  <c r="J5" i="3" s="1"/>
  <c r="F11" i="15" l="1"/>
  <c r="G4" i="20"/>
  <c r="F4" i="20" s="1"/>
  <c r="I6" i="20"/>
  <c r="H6" i="20"/>
  <c r="J6" i="20"/>
  <c r="F7" i="20"/>
  <c r="F4" i="10"/>
  <c r="F4" i="3"/>
  <c r="F12" i="18"/>
  <c r="F4" i="11"/>
  <c r="F5" i="15"/>
  <c r="B275" i="2"/>
  <c r="F5" i="13"/>
  <c r="F4" i="12"/>
  <c r="G5" i="11"/>
  <c r="F5" i="11" s="1"/>
  <c r="J6" i="10"/>
  <c r="G9" i="3"/>
  <c r="G12" i="3" s="1"/>
  <c r="H8" i="3"/>
  <c r="J8" i="3"/>
  <c r="J9" i="3"/>
  <c r="I5" i="3"/>
  <c r="B78" i="2"/>
  <c r="H5" i="3"/>
  <c r="F7" i="12" l="1"/>
  <c r="F13" i="15"/>
  <c r="C18" i="1" s="1"/>
  <c r="I6" i="10"/>
  <c r="G6" i="10"/>
  <c r="F6" i="20"/>
  <c r="J8" i="20"/>
  <c r="I8" i="20"/>
  <c r="H8" i="20"/>
  <c r="H6" i="10"/>
  <c r="F4" i="13"/>
  <c r="F7" i="13" s="1"/>
  <c r="I7" i="11"/>
  <c r="J7" i="11"/>
  <c r="H7" i="11"/>
  <c r="G7" i="11"/>
  <c r="J8" i="11"/>
  <c r="G8" i="11"/>
  <c r="H8" i="11"/>
  <c r="I8" i="11"/>
  <c r="F8" i="3"/>
  <c r="F5" i="3"/>
  <c r="I9" i="3"/>
  <c r="H9" i="3"/>
  <c r="I6" i="3"/>
  <c r="J6" i="3"/>
  <c r="J12" i="3" s="1"/>
  <c r="H6" i="3"/>
  <c r="F6" i="10" l="1"/>
  <c r="F8" i="10" s="1"/>
  <c r="I12" i="3"/>
  <c r="H9" i="11"/>
  <c r="G9" i="11"/>
  <c r="I9" i="11"/>
  <c r="J9" i="20"/>
  <c r="J10" i="20" s="1"/>
  <c r="I9" i="20"/>
  <c r="I10" i="20" s="1"/>
  <c r="H9" i="20"/>
  <c r="H10" i="20" s="1"/>
  <c r="G9" i="20"/>
  <c r="H12" i="3"/>
  <c r="F8" i="20"/>
  <c r="J9" i="11"/>
  <c r="F7" i="11"/>
  <c r="F9" i="3"/>
  <c r="F8" i="11"/>
  <c r="F6" i="3"/>
  <c r="F12" i="3" l="1"/>
  <c r="F9" i="11"/>
  <c r="F9" i="20"/>
  <c r="G10" i="20"/>
  <c r="F10" i="20" s="1"/>
  <c r="F11" i="11" l="1"/>
  <c r="F14" i="3"/>
  <c r="C13" i="1" s="1"/>
  <c r="F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tc={2B96AA55-8AAE-4DC7-BAA7-374DED8F8DD8}</author>
    <author>tc={CC59EDE0-8923-4C81-8460-0A5C971F51E9}</author>
  </authors>
  <commentList>
    <comment ref="D4" authorId="0" shapeId="0" xr:uid="{2B96AA55-8AAE-4DC7-BAA7-374DED8F8DD8}">
      <text>
        <t>[Kommentartråd]
Din versjon av Excel lar deg lese denne kommentartråden. Eventuelle endringer i den vil imidlertid bli fjernet hvis filen åpnes i en nyere versjon av Excel. Finn ut mer: https://go.microsoft.com/fwlink/?linkid=870924
Kommentar:
    Her kan dere se til SKILS, lenke sak hos Vestre Viken HF https://www.vestreviken.no/behandlinger/adhd-skills/
Svar:
    Tror kanskje det bare finnes i gruppeversjon, så mulig det kan komme kostnader for en individuell versjon</t>
      </text>
    </comment>
    <comment ref="B18" authorId="1" shapeId="0" xr:uid="{CC59EDE0-8923-4C81-8460-0A5C971F51E9}">
      <text>
        <t>[Kommentartråd]
Din versjon av Excel lar deg lese denne kommentartråden. Eventuelle endringer i den vil imidlertid bli fjernet hvis filen åpnes i en nyere versjon av Excel. Finn ut mer: https://go.microsoft.com/fwlink/?linkid=870924
Kommentar:
    Her kan det vises til SKILLS som er et gruppetilbud i Vestre Viken, men også tilgjengelig andre steder. @Jørgen Blom  kan kanskje hjelpe til med å vurdere om dette kan beskrives som et implementeringstiltak? 
Svar:
    @Jin Marte Øvreeide Ja, det kan det. Dette er ferdig!
Svar:
    Ønsker dere at vi endrer beskrivelsen av tiltaket til at det handler om å implementere SKILLS nasjonalt?
Svar:
    Beklager, så ikke at jeg hadde en merknad her også. Ja, siden det ser ut til å være ”fritt” tilgjengelig og kvalitetssikret, tenker jeg vi bør vurdere implementering av dette, men kan du ev lage et kostnadsestimat og med implementering av SKILLS som et eget estimat?
Svar:
    Skal prøve å få sett på dette før møtet i morgen.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tc={EE89DCB4-BFA2-480E-A2B5-CF1789420C25}</author>
  </authors>
  <commentList>
    <comment ref="B13" authorId="0" shapeId="0" xr:uid="{EE89DCB4-BFA2-480E-A2B5-CF1789420C25}">
      <text>
        <t>[Kommentartråd]
Din versjon av Excel lar deg lese denne kommentartråden. Eventuelle endringer i den vil imidlertid bli fjernet hvis filen åpnes i en nyere versjon av Excel. Finn ut mer: https://go.microsoft.com/fwlink/?linkid=870924
Kommentar:
    Her kan det vises til SKILLS som er et gruppetilbud i Vestre Viken, men også tilgjengelig andre steder. @Jørgen Blom  kan kanskje hjelpe til med å vurdere om dette kan beskrives som et implementeringstiltak? 
Svar:
    @Jin Marte Øvreeide Ja, det kan det. Dette er ferdig!
Svar:
    Ønsker dere at vi endrer beskrivelsen av tiltaket til at det handler om å implementere SKILLS nasjonalt?
Svar:
    Beklager, så ikke at jeg hadde en merknad her også. Ja, siden det ser ut til å være ”fritt” tilgjengelig og kvalitetssikret, tenker jeg vi bør vurdere implementering av dette, men kan du ev lage et kostnadsestimat og med implementering av SKILLS som et eget estimat?
Svar:
    Skal prøve å få sett på dette før møtet i morgen.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Marie Naalsund Ingvaldsen</author>
    <author>pxwebapi-v2</author>
  </authors>
  <commentList>
    <comment ref="H3" authorId="0" shapeId="0" xr:uid="{F64E54DF-9889-5A42-B28B-8E65241DE4B2}">
      <text>
        <r>
          <rPr>
            <b/>
            <sz val="10"/>
            <color rgb="FF000000"/>
            <rFont val="Tahoma"/>
            <family val="2"/>
          </rPr>
          <t>Marie Naalsund Ingvaldsen:</t>
        </r>
        <r>
          <rPr>
            <sz val="10"/>
            <color rgb="FF000000"/>
            <rFont val="Tahoma"/>
            <family val="2"/>
          </rPr>
          <t xml:space="preserve">
</t>
        </r>
        <r>
          <rPr>
            <sz val="11"/>
            <color rgb="FF000000"/>
            <rFont val="Calibri"/>
            <family val="2"/>
            <scheme val="minor"/>
          </rPr>
          <t xml:space="preserve">Antar 6 % opplever uro og konsentrasjonsproblemer, og at 50  % av disse følger et foreldrestøtteprogram
</t>
        </r>
        <r>
          <rPr>
            <sz val="11"/>
            <color rgb="FF000000"/>
            <rFont val="Calibri"/>
            <family val="2"/>
            <scheme val="minor"/>
          </rPr>
          <t xml:space="preserve">Antar at foreldre i snitt følger et foreldrestøtteprogram 1 gang fra barnet er 0-18 år
</t>
        </r>
      </text>
    </comment>
    <comment ref="A8" authorId="1" shapeId="0" xr:uid="{00000000-0006-0000-0000-000023000000}">
      <text>
        <r>
          <rPr>
            <sz val="9"/>
            <color rgb="FF000000"/>
            <rFont val="Tahoma"/>
            <family val="2"/>
          </rPr>
          <t xml:space="preserve">Her inngår kommuner som er blitt splittet, og som derfor kan ikke summeres opp til en av de nåværende kommunene. Bruk knappen 'Velg verdier fra gruppe' om du ønsker å se tall for hver av de delte kommunene.
</t>
        </r>
      </text>
    </comment>
    <comment ref="A118" authorId="1" shapeId="0" xr:uid="{00000000-0006-0000-0000-000022000000}">
      <text>
        <r>
          <rPr>
            <sz val="9"/>
            <color rgb="FF000000"/>
            <rFont val="Tahoma"/>
            <family val="2"/>
          </rPr>
          <t xml:space="preserve">1850 Tysfjord ble 1.1.2020 delt mellom de nye kommunene 1806 Narvik og 1875 Hamarøy. Denne tabellen viser ikke historiske tall for disse nye kommunene. Tall for 1850 Tysfjord, 1849 Hamarøy, 1854 Ballangen og 1805 Narvik før 2020 finnes under valget 'Alle kommuner'.
</t>
        </r>
      </text>
    </comment>
    <comment ref="A137" authorId="1" shapeId="0" xr:uid="{00000000-0006-0000-0000-00000D000000}">
      <text>
        <r>
          <rPr>
            <sz val="9"/>
            <color rgb="FF000000"/>
            <rFont val="Tahoma"/>
            <family val="2"/>
          </rPr>
          <t xml:space="preserve">Hele tidsserien er beregnet ut fra kommunegrensene fra 2020. De tidligere kommunene Finnøy og Rennesøy er dermed medregnet før 2020.  
Før 2020 er tall for grunnkrets Vestersjø regnet med under K-1133 Hjelmeland. Fra 2020 tilhører grunnkretsen 1103 Stavanger.
</t>
        </r>
      </text>
    </comment>
    <comment ref="A148" authorId="1" shapeId="0" xr:uid="{00000000-0006-0000-0000-000011000000}">
      <text>
        <r>
          <rPr>
            <sz val="9"/>
            <color rgb="FF000000"/>
            <rFont val="Tahoma"/>
            <family val="2"/>
          </rPr>
          <t xml:space="preserve">Før 2020 er tall for grunnkrets Nessane regnet med under K-4640 Sogndal. Fra 2020 tilhører grunnkretsen 4638 Høyanger.
</t>
        </r>
      </text>
    </comment>
    <comment ref="A171" authorId="1" shapeId="0" xr:uid="{00000000-0006-0000-0000-000016000000}">
      <text>
        <r>
          <rPr>
            <sz val="9"/>
            <color rgb="FF000000"/>
            <rFont val="Tahoma"/>
            <family val="2"/>
          </rPr>
          <t xml:space="preserve">Før 2020 er tall for grunnkrets Orten regnet med under K-1508 Ålesund. Fra 2020 er grunnkretsen regnet med under K-1547 Aukra.
</t>
        </r>
      </text>
    </comment>
    <comment ref="A194" authorId="1" shapeId="0" xr:uid="{00000000-0006-0000-0000-00001E000000}">
      <text>
        <r>
          <rPr>
            <sz val="9"/>
            <color rgb="FF000000"/>
            <rFont val="Tahoma"/>
            <family val="2"/>
          </rPr>
          <t xml:space="preserve">5012 Snillfjord ble 1.1.2020 delt mellom de nye kommunene 5055 Heim, 5056 Hitra og 5059 Orkland. Denne tabellen viser ikke historiske tall for disse nye kommunene. Tall for 5012 Snillfjord før 2020 finnes under valget 'Alle kommuner'.
</t>
        </r>
      </text>
    </comment>
    <comment ref="A202" authorId="1" shapeId="0" xr:uid="{00000000-0006-0000-0000-00001D000000}">
      <text>
        <r>
          <rPr>
            <sz val="9"/>
            <color rgb="FF000000"/>
            <rFont val="Tahoma"/>
            <family val="2"/>
          </rPr>
          <t xml:space="preserve">5012 Snillfjord ble 1.1.2020 delt mellom de nye kommunene 5055 Heim, 5056 Hitra og 5059 Orkland. Denne tabellen viser ikke historiske tall for disse nye kommunene. Tall for 5012 Snillfjord før 2020 finnes under valget 'Alle kommuner'.
</t>
        </r>
      </text>
    </comment>
    <comment ref="A245" authorId="1" shapeId="0" xr:uid="{00000000-0006-0000-0000-000018000000}">
      <text>
        <r>
          <rPr>
            <sz val="9"/>
            <color rgb="FF000000"/>
            <rFont val="Tahoma"/>
            <family val="2"/>
          </rPr>
          <t xml:space="preserve">I årene 2020-2023 var Haram en del av Ålesund.
</t>
        </r>
      </text>
    </comment>
    <comment ref="A246" authorId="1" shapeId="0" xr:uid="{00000000-0006-0000-0000-00001C000000}">
      <text>
        <r>
          <rPr>
            <sz val="9"/>
            <color rgb="FF000000"/>
            <rFont val="Tahoma"/>
            <family val="2"/>
          </rPr>
          <t xml:space="preserve">Før 2020 er tall for grunnkrets Verrabotn regnet med under K-5006 Steinkjer. Fra 2020 tilhører grunnkretsen 5054 Indre Fosen.
</t>
        </r>
      </text>
    </comment>
    <comment ref="A249" authorId="1" shapeId="0" xr:uid="{00000000-0006-0000-0000-00000F000000}">
      <text>
        <r>
          <rPr>
            <sz val="9"/>
            <color rgb="FF000000"/>
            <rFont val="Tahoma"/>
            <family val="2"/>
          </rPr>
          <t xml:space="preserve">Før 2020 er tall for grunnkretsene Djønno og Tjoflot regnet med under K-4618 Ullensvang. Fra 2020 tilhører grunnkretsene 4621 Voss.
</t>
        </r>
      </text>
    </comment>
    <comment ref="A252" authorId="1" shapeId="0" xr:uid="{00000000-0006-0000-0000-000013000000}">
      <text>
        <r>
          <rPr>
            <sz val="9"/>
            <color rgb="FF000000"/>
            <rFont val="Tahoma"/>
            <family val="2"/>
          </rPr>
          <t xml:space="preserve">Før 2020 er tall for grunnkretsene Totland, Bryggja og Maurstad regnet med under K-4602 Kinn. Fra 2020 tilhører grunnkretsene 4649 Stad.
</t>
        </r>
      </text>
    </comment>
    <comment ref="A256" authorId="1" shapeId="0" xr:uid="{00000000-0006-0000-0000-000009000000}">
      <text>
        <r>
          <rPr>
            <sz val="9"/>
            <color rgb="FF000000"/>
            <rFont val="Tahoma"/>
            <family val="2"/>
          </rPr>
          <t xml:space="preserve">Før 2020 er tall for grunnkretsene Andgard og Hjuksebø regnet med under K-4020 Midt-Telemark. Fra 2020 er grunnkretsene regnet med under K-4005 Notodden.
</t>
        </r>
      </text>
    </comment>
    <comment ref="A258" authorId="1" shapeId="0" xr:uid="{00000000-0006-0000-0000-000020000000}">
      <text>
        <r>
          <rPr>
            <sz val="9"/>
            <color rgb="FF000000"/>
            <rFont val="Tahoma"/>
            <family val="2"/>
          </rPr>
          <t xml:space="preserve">Før 2020 er tall for grunnkrets Lund regnet med under K-5060 Nærøysund. Fra 2020 tilhører grunnkretsen 5007 Namsos.
</t>
        </r>
      </text>
    </comment>
    <comment ref="A260" authorId="1" shapeId="0" xr:uid="{00000000-0006-0000-0000-000017000000}">
      <text>
        <r>
          <rPr>
            <sz val="9"/>
            <color rgb="FF000000"/>
            <rFont val="Tahoma"/>
            <family val="2"/>
          </rPr>
          <t xml:space="preserve">Før 2020 er tall for grunnkretsene Bjørke og Viddalen regnet med under K-1520 Ørsta. Fra 2020 tilhører grunnkretsene 1577 Volda.
</t>
        </r>
      </text>
    </comment>
    <comment ref="A262" authorId="1" shapeId="0" xr:uid="{00000000-0006-0000-0000-000015000000}">
      <text>
        <r>
          <rPr>
            <sz val="9"/>
            <color rgb="FF000000"/>
            <rFont val="Tahoma"/>
            <family val="2"/>
          </rPr>
          <t xml:space="preserve">Før 2020 er tall for grunnkretsene Bjørke og Viddalen regnet med under K-1520 Ørsta. Fra 2020 tilhører grunnkretsene 1577 Volda.
</t>
        </r>
      </text>
    </comment>
    <comment ref="A268" authorId="1" shapeId="0" xr:uid="{00000000-0006-0000-0000-000008000000}">
      <text>
        <r>
          <rPr>
            <sz val="9"/>
            <color rgb="FF000000"/>
            <rFont val="Tahoma"/>
            <family val="2"/>
          </rPr>
          <t xml:space="preserve">Før 2020 er tall for grunnkretsene Andgard og Hjuksebø regnet med under K-4020 Midt-Telemark. Fra 2020 er grunnkretsene regnet med under K-4005 Notodden.
</t>
        </r>
      </text>
    </comment>
    <comment ref="A273" authorId="1" shapeId="0" xr:uid="{00000000-0006-0000-0000-000012000000}">
      <text>
        <r>
          <rPr>
            <sz val="9"/>
            <color rgb="FF000000"/>
            <rFont val="Tahoma"/>
            <family val="2"/>
          </rPr>
          <t xml:space="preserve">Før 2020 er tall for grunnkrets Nessane regnet med under K-4640 Sogndal. Fra 2020 tilhører grunnkretsen 4638 Høyanger.
</t>
        </r>
      </text>
    </comment>
    <comment ref="A281" authorId="1" shapeId="0" xr:uid="{00000000-0006-0000-0000-00001B000000}">
      <text>
        <r>
          <rPr>
            <sz val="9"/>
            <color rgb="FF000000"/>
            <rFont val="Tahoma"/>
            <family val="2"/>
          </rPr>
          <t xml:space="preserve">Før 2020 er tall for grunnkrets Lund regnet med under K-5060 Nærøysund. Fra 2020 tilhører grunnkretsen 5007 Namsos.
</t>
        </r>
      </text>
    </comment>
    <comment ref="A287" authorId="1" shapeId="0" xr:uid="{00000000-0006-0000-0000-00000C000000}">
      <text>
        <r>
          <rPr>
            <sz val="9"/>
            <color rgb="FF000000"/>
            <rFont val="Tahoma"/>
            <family val="2"/>
          </rPr>
          <t xml:space="preserve">Før 2020 er tall for grunnkrets Kolabygda og deler av Sognesand og Forsand regnet med under K-1108 Sandnes. Fra 2020 tilhører områdene 1130 Strand.
</t>
        </r>
      </text>
    </comment>
    <comment ref="A288" authorId="1" shapeId="0" xr:uid="{00000000-0006-0000-0000-000010000000}">
      <text>
        <r>
          <rPr>
            <sz val="9"/>
            <color rgb="FF000000"/>
            <rFont val="Tahoma"/>
            <family val="2"/>
          </rPr>
          <t xml:space="preserve">Før 2020 er tall for grunnkretsene Djønno og Tjoflot regnet med under K-4618 Ullensvang. Fra 2020 tilhører grunnkretsene 4621 Voss.
</t>
        </r>
      </text>
    </comment>
    <comment ref="A291" authorId="1" shapeId="0" xr:uid="{00000000-0006-0000-0000-00000E000000}">
      <text>
        <r>
          <rPr>
            <sz val="9"/>
            <color rgb="FF000000"/>
            <rFont val="Tahoma"/>
            <family val="2"/>
          </rPr>
          <t xml:space="preserve">Før 2020 er tall for grunnkretsene Totland, Bryggja og Maurstad regnet med under K-4602 Kinn. Fra 2020 tilhører grunnkretsene 4649 Stad.
</t>
        </r>
      </text>
    </comment>
    <comment ref="A293" authorId="1" shapeId="0" xr:uid="{00000000-0006-0000-0000-00001F000000}">
      <text>
        <r>
          <rPr>
            <sz val="9"/>
            <color rgb="FF000000"/>
            <rFont val="Tahoma"/>
            <family val="2"/>
          </rPr>
          <t xml:space="preserve">5012 Snillfjord ble 1.1.2020 delt mellom de nye kommunene 5055 Heim, 5056 Hitra og 5059 Orkland. Denne tabellen viser ikke historiske tall for disse nye kommunene. Tall for 5012 Snillfjord før 2020 finnes under valget 'Alle kommuner'.
</t>
        </r>
      </text>
    </comment>
    <comment ref="A296" authorId="1" shapeId="0" xr:uid="{00000000-0006-0000-0000-000021000000}">
      <text>
        <r>
          <rPr>
            <sz val="9"/>
            <color rgb="FF000000"/>
            <rFont val="Tahoma"/>
            <family val="2"/>
          </rPr>
          <t xml:space="preserve">1850 Tysfjord ble 1.1.2020 delt mellom de nye kommunene 1806 Narvik og 1875 Hamarøy. Denne tabellen viser ikke historiske tall for disse nye kommunene. Tall for 1850 Tysfjord, 1849 Hamarøy, 1854 Ballangen og 1805 Narvik før 2020 finnes under valget 'Alle kommuner'.
</t>
        </r>
      </text>
    </comment>
    <comment ref="A304" authorId="1" shapeId="0" xr:uid="{00000000-0006-0000-0000-00001A000000}">
      <text>
        <r>
          <rPr>
            <sz val="9"/>
            <color rgb="FF000000"/>
            <rFont val="Tahoma"/>
            <family val="2"/>
          </rPr>
          <t xml:space="preserve">Før 2020 er tall for grunnkrets Verrabotn regnet med under K-5006 Steinkjer. Fra 2020 tilhører grunnkretsen 5054 Indre Fosen.
</t>
        </r>
      </text>
    </comment>
    <comment ref="A305" authorId="1" shapeId="0" xr:uid="{00000000-0006-0000-0000-000003000000}">
      <text>
        <r>
          <rPr>
            <sz val="9"/>
            <color rgb="FF000000"/>
            <rFont val="Tahoma"/>
            <family val="2"/>
          </rPr>
          <t xml:space="preserve">Før 2020 er tall for Tandbergløkka (del av grunnkrets Østensjø) regnet med under K-3218 Ås. Fra 2020 er området regnet med under K-3207 Nordre Follo.
</t>
        </r>
      </text>
    </comment>
    <comment ref="A316" authorId="1" shapeId="0" xr:uid="{00000000-0006-0000-0000-000005000000}">
      <text>
        <r>
          <rPr>
            <sz val="9"/>
            <color rgb="FF000000"/>
            <rFont val="Tahoma"/>
            <family val="2"/>
          </rPr>
          <t xml:space="preserve">Før 2020 er tall for Pauliveien og Skoppum regnet med under K-3905 Tønsberg. Fra 2020 er områdene regnet med under K-3901 Horten. Før 2020 er tall for Haugan regnet med under K-3901 Horten. Fra 2020 er området regnet med under K-3905 Tønsberg.
</t>
        </r>
      </text>
    </comment>
    <comment ref="A318" authorId="1" shapeId="0" xr:uid="{00000000-0006-0000-0000-000006000000}">
      <text>
        <r>
          <rPr>
            <sz val="9"/>
            <color rgb="FF000000"/>
            <rFont val="Tahoma"/>
            <family val="2"/>
          </rPr>
          <t xml:space="preserve">Før 2020 er tall for grunnkrets Mulvika regnet med under K-3905 Tønsberg. Fra 2020 er grunnkretsen regnet med under K-3903 Holmestrand.
</t>
        </r>
      </text>
    </comment>
    <comment ref="A319" authorId="1" shapeId="0" xr:uid="{00000000-0006-0000-0000-000004000000}">
      <text>
        <r>
          <rPr>
            <sz val="9"/>
            <color rgb="FF000000"/>
            <rFont val="Tahoma"/>
            <family val="2"/>
          </rPr>
          <t xml:space="preserve">Før 2020 er tall for grunnkrets Rånåsfoss og deler av Hellesjø regnet med under K-3205 Lillestrøm. Fra 2020 er områdene regnet med under K-3228 Nes.
</t>
        </r>
      </text>
    </comment>
    <comment ref="A349" authorId="1" shapeId="0" xr:uid="{00000000-0006-0000-0000-000007000000}">
      <text>
        <r>
          <rPr>
            <sz val="9"/>
            <color rgb="FF000000"/>
            <rFont val="Tahoma"/>
            <family val="2"/>
          </rPr>
          <t xml:space="preserve">Før 2020 er tall for Pauliveien og Skoppum regnet med under K-3905 Tønsberg. Fra 2020 er områdene regnet med under K-3901 Horten. Før 2020 er tall for Haugan regnet med under K-3901 Horten. Fra 2020 er området regnet med under K-3905 Tønsberg.
Før 2020 er tall for grunnkrets Mulvika regnet med under K-3905 Tønsberg. Fra 2020 er grunnkretsen regnet med under K-3903 Holmestrand.
</t>
        </r>
      </text>
    </comment>
    <comment ref="A350" authorId="1" shapeId="0" xr:uid="{00000000-0006-0000-0000-000014000000}">
      <text>
        <r>
          <rPr>
            <sz val="9"/>
            <color rgb="FF000000"/>
            <rFont val="Tahoma"/>
            <family val="2"/>
          </rPr>
          <t xml:space="preserve">Før 2020 er tall for grunnkrets Orten regnet med under K-1508 Ålesund. Fra 2020 er grunnkretsen regnet med under K-1547 Aukra.
I årene 2020-2023 var Haram en del av Ålesund.
</t>
        </r>
      </text>
    </comment>
    <comment ref="A353" authorId="1" shapeId="0" xr:uid="{00000000-0006-0000-0000-000002000000}">
      <text>
        <r>
          <rPr>
            <sz val="9"/>
            <color rgb="FF000000"/>
            <rFont val="Tahoma"/>
            <family val="2"/>
          </rPr>
          <t xml:space="preserve">Før 2020 er tall for Tandbergløkka (del av grunnkrets Østensjø) regnet med under K-3218 Ås. Fra 2020 er området regnet med under K-3207 Nordre Follo.
</t>
        </r>
      </text>
    </comment>
    <comment ref="A356" authorId="1" shapeId="0" xr:uid="{00000000-0006-0000-0000-00000B000000}">
      <text>
        <r>
          <rPr>
            <sz val="9"/>
            <color rgb="FF000000"/>
            <rFont val="Tahoma"/>
            <family val="2"/>
          </rPr>
          <t xml:space="preserve">Før 2020 er tall for grunnkrets Kolabygda og deler av Sognesand og Forsand regnet med under K-1108 Sandnes. Fra 2020 tilhører områdene 1130 Strand.
</t>
        </r>
      </text>
    </comment>
    <comment ref="A357" authorId="1" shapeId="0" xr:uid="{00000000-0006-0000-0000-000001000000}">
      <text>
        <r>
          <rPr>
            <sz val="9"/>
            <color rgb="FF000000"/>
            <rFont val="Tahoma"/>
            <family val="2"/>
          </rPr>
          <t xml:space="preserve">Før 2020 er tall for grunnkrets Rånåsfoss og deler av Hellesjø regnet med under K-3205 Lillestrøm. Fra 2020 er områdene regnet med under K-3228 Nes.
</t>
        </r>
      </text>
    </comment>
    <comment ref="A362" authorId="1" shapeId="0" xr:uid="{00000000-0006-0000-0000-00000A000000}">
      <text>
        <r>
          <rPr>
            <sz val="9"/>
            <color rgb="FF000000"/>
            <rFont val="Tahoma"/>
            <family val="2"/>
          </rPr>
          <t xml:space="preserve">Hele tidsserien er beregnet ut fra kommunegrensene fra 2020. De tidligere kommunene Finnøy og Rennesøy er dermed medregnet før 2020.  
Før 2020 er tall for grunnkrets Vestersjø regnet med under K-1133 Hjelmeland. Fra 2020 tilhører grunnkretsen 1103 Stavanger.
</t>
        </r>
      </text>
    </comment>
    <comment ref="A363" authorId="1" shapeId="0" xr:uid="{00000000-0006-0000-0000-000019000000}">
      <text>
        <r>
          <rPr>
            <sz val="9"/>
            <color rgb="FF000000"/>
            <rFont val="Tahoma"/>
            <family val="2"/>
          </rPr>
          <t xml:space="preserve">Hele tidsserien er beregnet ut fra kommunegrensene fra 2020. Den tidligere kommunen Klæbu er dermed medregnet før 2020.
</t>
        </r>
      </text>
    </comment>
  </commentList>
</comments>
</file>

<file path=xl/sharedStrings.xml><?xml version="1.0" encoding="utf-8"?>
<sst xmlns="http://schemas.openxmlformats.org/spreadsheetml/2006/main" count="1478" uniqueCount="1042">
  <si>
    <t>Kostnadselement</t>
  </si>
  <si>
    <t>Verdi</t>
  </si>
  <si>
    <t>Begrunnelse</t>
  </si>
  <si>
    <t>Nivå 1</t>
  </si>
  <si>
    <t>Nivå 2</t>
  </si>
  <si>
    <t>1.0.0</t>
  </si>
  <si>
    <t>1.1.0</t>
  </si>
  <si>
    <t>Styrke foreldres kompetanse</t>
  </si>
  <si>
    <t>T1 - Styrke lavterskel helsetjenester for barn og unge</t>
  </si>
  <si>
    <t>2.0.0</t>
  </si>
  <si>
    <t>Styrke ungdoms kompetanse</t>
  </si>
  <si>
    <t>3.0.0</t>
  </si>
  <si>
    <t>Tilgjengeliggjøring av digitalt materiale</t>
  </si>
  <si>
    <t>2.2.0</t>
  </si>
  <si>
    <t>1.2.0</t>
  </si>
  <si>
    <t>1.3.0</t>
  </si>
  <si>
    <t>1.4.0</t>
  </si>
  <si>
    <t>2.1.0</t>
  </si>
  <si>
    <t>Endringsbehov:</t>
  </si>
  <si>
    <t>Utvikle fagmateriell om barn med uro og konsentrasjonsvansker hos helsestasjoner</t>
  </si>
  <si>
    <t>Tilgjengeliggjøre materialet på digitale flater der ungdom ferdes, f.eks. Ung.no</t>
  </si>
  <si>
    <t>2.3.0</t>
  </si>
  <si>
    <t>Bevisstgjøring og innføring i faglig materiell for helsesykepleiere og øvrige ansatte på helsestasjonen</t>
  </si>
  <si>
    <t>3.1.0</t>
  </si>
  <si>
    <t>3.2.0</t>
  </si>
  <si>
    <t>Utvikle fagmateriell for de ansatte om barn og unge med uro og konsentrasjonsvansker</t>
  </si>
  <si>
    <t>Gjennomføring av obligatorisk kurs eller e-læring med innføring av fagmateriellet</t>
  </si>
  <si>
    <t xml:space="preserve">Opplæring av nyansatte som ikke var med på den initielle opplæringsrunden </t>
  </si>
  <si>
    <t>Satser som er like på tvers</t>
  </si>
  <si>
    <t>Forutsetninger</t>
  </si>
  <si>
    <t>Beregninger</t>
  </si>
  <si>
    <t>SUM</t>
  </si>
  <si>
    <t>Sats for en time med arbeid for helsearbeidere</t>
  </si>
  <si>
    <t>Neddiskontert sum</t>
  </si>
  <si>
    <t>Diskonteringsrente</t>
  </si>
  <si>
    <t>Justering av programmene for å inkludere barn med uro og konsentrasjonsvansker</t>
  </si>
  <si>
    <t>Standard diskonteringsrente for analyseperiode 0–40 år</t>
  </si>
  <si>
    <t>Kartlegging av behov og målgruppe i kommunen</t>
  </si>
  <si>
    <t>Etablering og drift av foreldrestøtteprogram som er tilpasset for målgruppen</t>
  </si>
  <si>
    <t>Tidsbruk på digitalt tilgjengeliggjøring</t>
  </si>
  <si>
    <t>Årlig vedlikehold av nettsidene</t>
  </si>
  <si>
    <t>Sats for en time med arbeid for IT-arbeidere</t>
  </si>
  <si>
    <t>Kostnad for digital tilgjengeliggjøring</t>
  </si>
  <si>
    <t>Kostnad for årlig vedlikehold</t>
  </si>
  <si>
    <t>Bevisstgjøring og innføring i det faglige materiellet for helsesykepleiere og øvrige ansatte på helsestasjonen</t>
  </si>
  <si>
    <t>Antall timer med merarbeid for ansatte på helsestasjon</t>
  </si>
  <si>
    <t>Antall årsverk i helsestasjontjenesten og skolehelsetjenesten</t>
  </si>
  <si>
    <t>2 timer opplæring per ansatt</t>
  </si>
  <si>
    <t>Turnover i helsetjenesten</t>
  </si>
  <si>
    <t>Kostnad for å kurse eksisterende ansatte</t>
  </si>
  <si>
    <t>Årlig kostnad for opplæring av nyansatte</t>
  </si>
  <si>
    <t>Styrke lærere, barnehagelærere og PPTs kompetanse</t>
  </si>
  <si>
    <t>Utvikle fagmateriell for ungdom med uro og konsentrasjonsvansker</t>
  </si>
  <si>
    <t>Antall timer for å utvikle fagmateriell for ungdom</t>
  </si>
  <si>
    <t>Kostnad for å utvikle fagmateriell for ungdom</t>
  </si>
  <si>
    <t>Antall timer for å utvikle fagmateriell for ansatte i skole, barnehage og PPT</t>
  </si>
  <si>
    <t xml:space="preserve">Antall barnehagelærere </t>
  </si>
  <si>
    <t>Tall fra 2024 (https://www.ssb.no/statbank/table/12704)</t>
  </si>
  <si>
    <t>Antall lærere i grunnskolen</t>
  </si>
  <si>
    <t>Tall fra 2024 (https://www.ssb.no/statbank/table/12282)</t>
  </si>
  <si>
    <t>Antall ansatte i PPT</t>
  </si>
  <si>
    <t>Antall timer i merarbeid for å gjennomføre kurs / e-læring</t>
  </si>
  <si>
    <t>2 timer for gjennomføring</t>
  </si>
  <si>
    <t>Sats for en time med arbeid for barnehagelærere, lærerer, PPT</t>
  </si>
  <si>
    <t>Kostnad for å kurse ansatte</t>
  </si>
  <si>
    <t>6000 ansatte i skole- og helsetjenesten, og 29 % av disse jobbet i helsetjenesten med barn 0-5 år (https://www.helsedirektoratet.no/rapporter/arsverk-i-deltjenestene-helsestasjons-og-skolehelsetjenesten-2020-2023/sammendrag) - Av alle innrapporterte årsverk i helsestasjons- og skolehelsetjenesten ble 29 prosent benyttet til helsestasjon 0-5 år i 2023."</t>
  </si>
  <si>
    <t>At 14,5 % slutter gir behov for opplæring av nyansatte (https://sykepleien.no/2026/01/rapport-hoy-turnover-er-darlig-butikk - "Tallene viser at hvert år slutter 14,5 prosent av kommunalt ansatte sykepleiere og helsefagarbeidere."</t>
  </si>
  <si>
    <t>Rundt 1100 ansatte i Skolehelsetjenesten ungdomstrinnet, Skolehelsetjenesten videregående skole &amp; Helsestasjon for ungdom (HFU) (https://www.helsedirektoratet.no/rapporter/arsverk-i-deltjenestene-helsestasjons-og-skolehelsetjenesten-2020-2023/arsverksutvikling)</t>
  </si>
  <si>
    <t>T2 - Foreldrestøttende tiltak</t>
  </si>
  <si>
    <t>Tiltak</t>
  </si>
  <si>
    <t>Formål / hvilket problem løser dette?</t>
  </si>
  <si>
    <t>Dagens situasjon / nullalternativ:</t>
  </si>
  <si>
    <t>Hva trengs av informasjon for å kunne kostnadsestimere dette tiltaket?</t>
  </si>
  <si>
    <t>T4 - Tydeliggjøre forventningskrav til tilrettelegging og utprøving av ikke-medikamentelle tiltak før henvisning til BUP, med mål om at pasienter opplever et helhetlig forløp</t>
  </si>
  <si>
    <r>
      <t>·</t>
    </r>
    <r>
      <rPr>
        <sz val="7"/>
        <color theme="1"/>
        <rFont val="Times New Roman"/>
        <family val="1"/>
      </rPr>
      <t xml:space="preserve">        </t>
    </r>
    <r>
      <rPr>
        <sz val="11"/>
        <color theme="1"/>
        <rFont val="Aptos"/>
        <family val="2"/>
      </rPr>
      <t xml:space="preserve">Standardisere psykoedukasjon; </t>
    </r>
    <r>
      <rPr>
        <sz val="8"/>
        <color theme="1"/>
        <rFont val="Aptos"/>
        <family val="2"/>
      </rPr>
      <t>  </t>
    </r>
  </si>
  <si>
    <r>
      <t>o</t>
    </r>
    <r>
      <rPr>
        <sz val="7"/>
        <color theme="1"/>
        <rFont val="Times New Roman"/>
        <family val="1"/>
      </rPr>
      <t xml:space="preserve">   </t>
    </r>
    <r>
      <rPr>
        <sz val="11"/>
        <color theme="1"/>
        <rFont val="Aptos"/>
        <family val="2"/>
      </rPr>
      <t xml:space="preserve">inkludere barn og foreldre systematisk; </t>
    </r>
  </si>
  <si>
    <r>
      <t>o</t>
    </r>
    <r>
      <rPr>
        <sz val="7"/>
        <color theme="1"/>
        <rFont val="Times New Roman"/>
        <family val="1"/>
      </rPr>
      <t xml:space="preserve">   </t>
    </r>
    <r>
      <rPr>
        <sz val="11"/>
        <color theme="1"/>
        <rFont val="Aptos"/>
        <family val="2"/>
      </rPr>
      <t>tilgjengeliggjøre digitale versjoner</t>
    </r>
  </si>
  <si>
    <r>
      <t>o</t>
    </r>
    <r>
      <rPr>
        <sz val="7"/>
        <color theme="1"/>
        <rFont val="Times New Roman"/>
        <family val="1"/>
      </rPr>
      <t xml:space="preserve">   </t>
    </r>
    <r>
      <rPr>
        <sz val="11"/>
        <color theme="1"/>
        <rFont val="Aptos"/>
        <family val="2"/>
      </rPr>
      <t>I samarbeid med fag- og kompetansemiljø</t>
    </r>
    <r>
      <rPr>
        <sz val="8"/>
        <color theme="1"/>
        <rFont val="Aptos"/>
        <family val="2"/>
      </rPr>
      <t>     </t>
    </r>
    <r>
      <rPr>
        <sz val="11"/>
        <color theme="1"/>
        <rFont val="Aptos"/>
        <family val="2"/>
      </rPr>
      <t xml:space="preserve"> mv.)</t>
    </r>
  </si>
  <si>
    <r>
      <t>·</t>
    </r>
    <r>
      <rPr>
        <sz val="7"/>
        <color theme="1"/>
        <rFont val="Times New Roman"/>
        <family val="1"/>
      </rPr>
      <t xml:space="preserve">        </t>
    </r>
    <r>
      <rPr>
        <sz val="11"/>
        <color theme="1"/>
        <rFont val="Aptos"/>
        <family val="2"/>
      </rPr>
      <t xml:space="preserve">Det finnes i dag ulike psykoedukative tilbud. En utfordring i dag er at det utvikles ulike tiltak og at disse i begrenset grad er samkjørte og brukes ikke systematisk i arbeidet med barn og unge og deres foreldre. </t>
    </r>
  </si>
  <si>
    <r>
      <t>·</t>
    </r>
    <r>
      <rPr>
        <sz val="7"/>
        <color theme="1"/>
        <rFont val="Times New Roman"/>
        <family val="1"/>
      </rPr>
      <t xml:space="preserve">        </t>
    </r>
    <r>
      <rPr>
        <sz val="11"/>
        <color theme="1"/>
        <rFont val="Aptos"/>
        <family val="2"/>
      </rPr>
      <t xml:space="preserve">Mange ulike psykoedukasjonstiltak uten strukturer for hva og hvordan de skal formidles til barn og unge med foreldre, gjør at informasjonen ikke når frem til de aktuelle mottakerne. </t>
    </r>
  </si>
  <si>
    <r>
      <t>·</t>
    </r>
    <r>
      <rPr>
        <sz val="7"/>
        <color theme="1"/>
        <rFont val="Times New Roman"/>
        <family val="1"/>
      </rPr>
      <t xml:space="preserve">        </t>
    </r>
    <r>
      <rPr>
        <sz val="11"/>
        <color theme="1"/>
        <rFont val="Aptos"/>
        <family val="2"/>
      </rPr>
      <t>Hva er dagens praksis?</t>
    </r>
  </si>
  <si>
    <r>
      <t>·</t>
    </r>
    <r>
      <rPr>
        <sz val="7"/>
        <color theme="1"/>
        <rFont val="Times New Roman"/>
        <family val="1"/>
      </rPr>
      <t xml:space="preserve">        </t>
    </r>
    <r>
      <rPr>
        <sz val="11"/>
        <color theme="1"/>
        <rFont val="Aptos"/>
        <family val="2"/>
      </rPr>
      <t>Hvilke psykoedukative tiltak finnes der ute, og hvilke ønsker man å standardisere?</t>
    </r>
  </si>
  <si>
    <r>
      <t>·</t>
    </r>
    <r>
      <rPr>
        <sz val="7"/>
        <color theme="1"/>
        <rFont val="Times New Roman"/>
        <family val="1"/>
      </rPr>
      <t xml:space="preserve">        </t>
    </r>
    <r>
      <rPr>
        <sz val="11"/>
        <color theme="1"/>
        <rFont val="Aptos"/>
        <family val="2"/>
      </rPr>
      <t>Hvor omfattende er det å tilgjengeliggjøre de standardiserte psykoedukativetiltakene ut til brukere, også i digitale versjoner?</t>
    </r>
  </si>
  <si>
    <r>
      <t>·</t>
    </r>
    <r>
      <rPr>
        <sz val="7"/>
        <color theme="1"/>
        <rFont val="Times New Roman"/>
        <family val="1"/>
      </rPr>
      <t xml:space="preserve">        </t>
    </r>
    <r>
      <rPr>
        <sz val="11"/>
        <color theme="1"/>
        <rFont val="Aptos"/>
        <family val="2"/>
      </rPr>
      <t>Det er behov for å utvikle og standardisere psykoedukasjonstiltak, og  anbefale nasjonale løsninger  som også kan tilbys digitalt..</t>
    </r>
  </si>
  <si>
    <t>Flere ikke-medikamentelle tiltak hos fastlege før henvisning til BUP</t>
  </si>
  <si>
    <t>Mer tverrfaglig koordinering mellom fastlegene</t>
  </si>
  <si>
    <t>Flere ikke-medikamentelle tiltak i kommunale tjenester før henvisning til BUP</t>
  </si>
  <si>
    <t>Økt tverrfaglig koordinering</t>
  </si>
  <si>
    <t>Kompetanseheving om barn og unge med uro og konsentrasjonsvansker hos fastlegene</t>
  </si>
  <si>
    <t>Beregninger for T1</t>
  </si>
  <si>
    <t>Beregninger for T4</t>
  </si>
  <si>
    <t>Økt tidsbruk før henvisning (konsultasjon, vurdering og oppfølging)</t>
  </si>
  <si>
    <t>Antall fastleger i fastlegeordningen (2024)</t>
  </si>
  <si>
    <t>Helsedirektoratet: ved utgangen av 2024 var det 5 517 fastleger (https://www.helsedirektoratet.no/rapporter/arbeidet-med-allmennlegetjenesten/utvikling-i-fastlegeordningen/fastleger-og-vikarer-i-fastlegeordningen)</t>
  </si>
  <si>
    <t>Antall henvisninger til psykisk helsevern for barn og unge &lt;23 år (2024)</t>
  </si>
  <si>
    <t>Helsedirektoratet kvalitetsindikator (https://www.helsedirektoratet.no/statistikk/kvalitetsindikatorer/psykisk-helse-for-barn-og-unge/henvisning-vurdert-innen-ti-dager-for-barn-og-unge-i-psykisk-helsevern)</t>
  </si>
  <si>
    <t>Andel henvisninger relevante for uro/konsentrasjonsvansker (andel)</t>
  </si>
  <si>
    <t>Antall relevante henvisninger per år</t>
  </si>
  <si>
    <t>Sats for en time med arbeid for fastleger</t>
  </si>
  <si>
    <t>Beregninger for T2</t>
  </si>
  <si>
    <t>Tid brukt på å innhente data og estimere behov</t>
  </si>
  <si>
    <t>Antall timer per kommune</t>
  </si>
  <si>
    <t>Antall kommuner</t>
  </si>
  <si>
    <t>Antall kommuner i Norge</t>
  </si>
  <si>
    <t>Kostnad for kartlegging av behov og målgruppe i kommunen</t>
  </si>
  <si>
    <t xml:space="preserve">Sats for en time med arbeid av offentlige saksbehandlere </t>
  </si>
  <si>
    <t>Beregninger for T5</t>
  </si>
  <si>
    <t>Medlemmer i arbeidsgruppen</t>
  </si>
  <si>
    <t>Antall timer per møte</t>
  </si>
  <si>
    <t>Totalt antall timer i arbeidsgruppe</t>
  </si>
  <si>
    <t>Opplæring av nyansatte</t>
  </si>
  <si>
    <t>4.0.0</t>
  </si>
  <si>
    <t>4.1.0</t>
  </si>
  <si>
    <t>Beregning</t>
  </si>
  <si>
    <t>Nåverdikostnad i 2026-kroner, eks mva</t>
  </si>
  <si>
    <t>Antall timer fagutvikling for opplæringsmateriell</t>
  </si>
  <si>
    <t>Antall timer opplæring per fastlege</t>
  </si>
  <si>
    <t>Kostnad for fagutvikling</t>
  </si>
  <si>
    <t>Kostnad for opplæring av nåværende fastleger</t>
  </si>
  <si>
    <t>Kostnad for opplæring av nyansatte fastleger</t>
  </si>
  <si>
    <t>Antar 2 timer (halv arbeidsdag) for opplæring per fastlege</t>
  </si>
  <si>
    <t>Antatt turnover</t>
  </si>
  <si>
    <t>Antar 10 % turnover som krever opplæring av nye fastleger</t>
  </si>
  <si>
    <t xml:space="preserve">Utvikling av fagmateriell for fastleger om barn og unge med uro og konsentrasjonsvansker </t>
  </si>
  <si>
    <t>Timer ekstra per henvisning rundt uro og konsentrasjonsvansker</t>
  </si>
  <si>
    <t>Kostnad for økt tidsbruk før henvisning</t>
  </si>
  <si>
    <t>Timer ekstra per fastlege årlig for tverrfaglig koordinering</t>
  </si>
  <si>
    <t>Antar 30 minutter ekstra per henvisning rundt uro og konsentrasjonsvansker</t>
  </si>
  <si>
    <t>Antar 20 minutter ekstra per henvisning for dialog/møte med kommune og BUP</t>
  </si>
  <si>
    <t xml:space="preserve">Antall henvisninger </t>
  </si>
  <si>
    <t>Ekstra tidsbruk per barn</t>
  </si>
  <si>
    <t>Kostnad for å bruke ekstra tid til utprøving i kommunale tjenester</t>
  </si>
  <si>
    <t>Antar 0,5 timer i ekstra utprøving for møter og avklaringer mellom tjenester</t>
  </si>
  <si>
    <t>Økt tverrfaglig koordinering mellom fastlegene</t>
  </si>
  <si>
    <t>Økt tverrfaglig koordinering mellom de kommunale helsetjenestene</t>
  </si>
  <si>
    <t>Sats for en time med arbeid fra ledere i helsetjenestene</t>
  </si>
  <si>
    <t>Opplæring av eksisterende ansatte</t>
  </si>
  <si>
    <t>Kostnad for opplæring av nyansatte</t>
  </si>
  <si>
    <t>Utvikling og standardisering av innhold</t>
  </si>
  <si>
    <t>Digitalisering og tilgjengeliggjøring</t>
  </si>
  <si>
    <t>Utvikling av digitale moduler</t>
  </si>
  <si>
    <t>Årlig vedlikehold</t>
  </si>
  <si>
    <t>Opplæring av ansatte og implementering</t>
  </si>
  <si>
    <t>Tidsbruk per barn i utrednings- og behandlingsforløp</t>
  </si>
  <si>
    <t>Utvikling og standardisering av psykoedukasjons-innhold</t>
  </si>
  <si>
    <t>Antakelse</t>
  </si>
  <si>
    <t>Gjennomføring for barn og unge i forløp</t>
  </si>
  <si>
    <t>Oppsummering av estimert kostnad per tiltak</t>
  </si>
  <si>
    <t>T3 - BTI-modellen</t>
  </si>
  <si>
    <t>Overordnet: Revisjon av faglig retningslinje ADHD</t>
  </si>
  <si>
    <t>Kompetanseheving for ansatte i kommunale fritids- og aktivitetstilbud (inkl. SFO)</t>
  </si>
  <si>
    <t>Oppdatering og vedlikehold av kompetansetilbud</t>
  </si>
  <si>
    <t>Kartlegging av behov for tilrettelegging i kommunale fritidstilbud</t>
  </si>
  <si>
    <t>Tilpasning av aktiviteter og organisering i SFO og fritidsklubber</t>
  </si>
  <si>
    <t>Beregninger for T7</t>
  </si>
  <si>
    <t>Tilpasning av opplæringsmateriell</t>
  </si>
  <si>
    <t>Antall timer brukt på på tilpasning av eksisterende materiell</t>
  </si>
  <si>
    <t>Kostnad for tilpasning av opplæringsmateriell</t>
  </si>
  <si>
    <t>Kilde: https://www.udir.no/tall-og-forskning/statistikk/statistikk-grunnskole/analyser/fakta-om-grunnskolen-2022-2023/sfo/</t>
  </si>
  <si>
    <t>Antall ansatte som jobber på SFO (2022-2023)</t>
  </si>
  <si>
    <t>Kilde: https://www.ssb.no/statbank/table/12063</t>
  </si>
  <si>
    <t>Antatt gjennomsnittlig stillingsprosent blant ansatte ved kommunalt drevne fritidssentere</t>
  </si>
  <si>
    <t>Antall årsverk ved kommunalt drevne fritidssentere (2024)</t>
  </si>
  <si>
    <t>Antar at en andel av de ansatte jobber deltid, blant annet på kvelder</t>
  </si>
  <si>
    <t>Timer per kurs</t>
  </si>
  <si>
    <t>Antagelse</t>
  </si>
  <si>
    <t>Sats for en time med arbeid for ansatte hos SFO</t>
  </si>
  <si>
    <t>Forventet turnover blant ansatte</t>
  </si>
  <si>
    <t>Kilde: https://www.ks.no/fagomrader/statistikk-og-analyse/turnover/kommuner-og-fylkeskommuner/</t>
  </si>
  <si>
    <t>Andel av ansatte som behøver/benytter faglig støtte</t>
  </si>
  <si>
    <t>Totalt antall ansatte</t>
  </si>
  <si>
    <t>Basert på 19300 ansatte hos SFO og 1022 årsverk på kommunale fritidssentere med gjennomsnittlig stillingsprosent på 50%</t>
  </si>
  <si>
    <t>Kostnad for veiledning og faglig støtte</t>
  </si>
  <si>
    <t>Totalt antall ansatte som trenger faglig søtte</t>
  </si>
  <si>
    <t>Gjennomsnittlig antall timer faglig støtte i løpet av et år per ansatt</t>
  </si>
  <si>
    <t xml:space="preserve">Veiledning og faglig støtte til ansatte </t>
  </si>
  <si>
    <t>Antar at hver time med faglig støtte, innebærer 1 time arbeid for både den ansatte og for veilederen</t>
  </si>
  <si>
    <t>Timer brukt på faglige justeringer, revisjon av innhold, koordinering og oppfølging fra kursledere</t>
  </si>
  <si>
    <t>Kostnad for oppdatering og vedlikehold</t>
  </si>
  <si>
    <t>Datinnhenting, dialog, koordinering, analyse og oppsumering</t>
  </si>
  <si>
    <t>Kostnad for kartlegging av behov på kommunalt nivå</t>
  </si>
  <si>
    <t>Timer brukt på arbeidstid for utvikling av rutiner, interne workshops med ansatte og implementering</t>
  </si>
  <si>
    <t>Kostnad for utvikling av rutiner på kommunalt nivå</t>
  </si>
  <si>
    <t>Utvikling av rutiner og verktøy for inkluderende aktiviteter på kommunalt nivå</t>
  </si>
  <si>
    <t>20% av verdien fra linjen over</t>
  </si>
  <si>
    <t xml:space="preserve">Andel ansatte som må tilpasse aktiviteter </t>
  </si>
  <si>
    <t>Årlig antall timer brukt per ansatt som må bruke tid på å tilpasse aktiviteter</t>
  </si>
  <si>
    <t>Totalt antall ansatte som bruker tid på å tilpasse aktiviteter</t>
  </si>
  <si>
    <t>Antall timer hvert år</t>
  </si>
  <si>
    <t xml:space="preserve">Årlig kostnad for å tilpasse aktiviteter </t>
  </si>
  <si>
    <t>En ansatt bruker en arbeidsuke (37,5 timer) på å opprettholde og kvalitetssikre digitale flater</t>
  </si>
  <si>
    <t>En ansatt bruker tre arbeidsuker (112,5 timer) på tilgjengeliggjøring digitalt for ungdom</t>
  </si>
  <si>
    <t>En ansatt bruker en arbeidsuke (37,5 timer) årlig på å opprettholde og kvalitetssikre digitale flater</t>
  </si>
  <si>
    <t>1,5 ukers arbeid med 37,5-timers arbeidsuker, per kommune</t>
  </si>
  <si>
    <t>1 ukes arbeid med 37,5-timers arbeidsuker, per kommune</t>
  </si>
  <si>
    <t>15 ukers arbeid med 37,5-timers arbeidsuker</t>
  </si>
  <si>
    <t>Sats for en time med arbeid fra inntaksteam</t>
  </si>
  <si>
    <t xml:space="preserve">T3 - BTI-modellen (Bedre Tverrfaglig Innsats) og faste møtestrukturer </t>
  </si>
  <si>
    <t>Status på BTI-arbeid i dag</t>
  </si>
  <si>
    <t>Alta</t>
  </si>
  <si>
    <t>Andøy</t>
  </si>
  <si>
    <t>Balsfjord</t>
  </si>
  <si>
    <t>Bardu</t>
  </si>
  <si>
    <t>Gratangen</t>
  </si>
  <si>
    <t>Hadsel</t>
  </si>
  <si>
    <t>Hammerfest</t>
  </si>
  <si>
    <t>Hemnes </t>
  </si>
  <si>
    <t>Ibestad</t>
  </si>
  <si>
    <t>Kåfjord</t>
  </si>
  <si>
    <t>Lavangen</t>
  </si>
  <si>
    <t>Leirfjord </t>
  </si>
  <si>
    <t>Meløy</t>
  </si>
  <si>
    <t>Nesseby </t>
  </si>
  <si>
    <t>Narvik  </t>
  </si>
  <si>
    <t>Porsanger</t>
  </si>
  <si>
    <t>Salangen</t>
  </si>
  <si>
    <t>Senja </t>
  </si>
  <si>
    <t>Tromsø </t>
  </si>
  <si>
    <t>Vardø</t>
  </si>
  <si>
    <t>Vågan</t>
  </si>
  <si>
    <t>Nesna</t>
  </si>
  <si>
    <t>Sortland</t>
  </si>
  <si>
    <t>Harstad</t>
  </si>
  <si>
    <t>Røst</t>
  </si>
  <si>
    <t>Vefsn</t>
  </si>
  <si>
    <t>Bindal</t>
  </si>
  <si>
    <t>Frosta</t>
  </si>
  <si>
    <t>Nærøysund</t>
  </si>
  <si>
    <t>Hitra</t>
  </si>
  <si>
    <t>Holtålen</t>
  </si>
  <si>
    <t>Leka</t>
  </si>
  <si>
    <t>Levanger</t>
  </si>
  <si>
    <t>Malvik</t>
  </si>
  <si>
    <t>Meråker</t>
  </si>
  <si>
    <t>Os</t>
  </si>
  <si>
    <t>Orkland</t>
  </si>
  <si>
    <t>Stjørdal</t>
  </si>
  <si>
    <t>Overhalla</t>
  </si>
  <si>
    <t>Røros</t>
  </si>
  <si>
    <t>Selbu</t>
  </si>
  <si>
    <t>Ørland</t>
  </si>
  <si>
    <t>Tydal</t>
  </si>
  <si>
    <t>Verdal</t>
  </si>
  <si>
    <t>Oppdal</t>
  </si>
  <si>
    <t>Midtre Gauldal</t>
  </si>
  <si>
    <t>Indre Fosen</t>
  </si>
  <si>
    <t>Inderøy</t>
  </si>
  <si>
    <t>Rennebu</t>
  </si>
  <si>
    <t>Snåsa kommune</t>
  </si>
  <si>
    <t>Steinkjer</t>
  </si>
  <si>
    <t>Høylandet</t>
  </si>
  <si>
    <t>Namsskogan</t>
  </si>
  <si>
    <t>Røyrvik</t>
  </si>
  <si>
    <t>Grong</t>
  </si>
  <si>
    <t>Lierne</t>
  </si>
  <si>
    <t>Molde</t>
  </si>
  <si>
    <t>Giske</t>
  </si>
  <si>
    <t>Stranda</t>
  </si>
  <si>
    <t>Sula</t>
  </si>
  <si>
    <t>Sykkylven</t>
  </si>
  <si>
    <t>Sande</t>
  </si>
  <si>
    <t>Ulstein</t>
  </si>
  <si>
    <t>Vanylven</t>
  </si>
  <si>
    <t>Herøy</t>
  </si>
  <si>
    <t>Hareid</t>
  </si>
  <si>
    <t>Ørsta</t>
  </si>
  <si>
    <t>Volda</t>
  </si>
  <si>
    <t>Aukra</t>
  </si>
  <si>
    <t>Aure</t>
  </si>
  <si>
    <t>Smøla</t>
  </si>
  <si>
    <t>Hustadvika</t>
  </si>
  <si>
    <t>Ålesund</t>
  </si>
  <si>
    <t>Sula kommune</t>
  </si>
  <si>
    <t>Korus midt:</t>
  </si>
  <si>
    <t>Korus nord:</t>
  </si>
  <si>
    <t>Korus Bergen:</t>
  </si>
  <si>
    <t>Askøy</t>
  </si>
  <si>
    <t>Austrheim</t>
  </si>
  <si>
    <t>Bømlo</t>
  </si>
  <si>
    <t>Eidfjord</t>
  </si>
  <si>
    <t>Etne</t>
  </si>
  <si>
    <t>Fitjar</t>
  </si>
  <si>
    <t>Gloppen</t>
  </si>
  <si>
    <t>Haugesund</t>
  </si>
  <si>
    <t>Høyanger</t>
  </si>
  <si>
    <t>Kinn</t>
  </si>
  <si>
    <t>Kvam</t>
  </si>
  <si>
    <t>Kvinnherad</t>
  </si>
  <si>
    <t>Lærdal</t>
  </si>
  <si>
    <t>Sauda</t>
  </si>
  <si>
    <t>Sogndal</t>
  </si>
  <si>
    <t>Stord</t>
  </si>
  <si>
    <t>Suldal</t>
  </si>
  <si>
    <t>Sunnfjord</t>
  </si>
  <si>
    <t>Sveio</t>
  </si>
  <si>
    <t>Tysvær</t>
  </si>
  <si>
    <t>Ullensvang</t>
  </si>
  <si>
    <t>Vindafjord</t>
  </si>
  <si>
    <t>Voss</t>
  </si>
  <si>
    <t>Øygarden</t>
  </si>
  <si>
    <t>Årdal</t>
  </si>
  <si>
    <t>Korus Stavanger:</t>
  </si>
  <si>
    <t>Eigersund</t>
  </si>
  <si>
    <t>Gjesdal</t>
  </si>
  <si>
    <t>Randaberg</t>
  </si>
  <si>
    <t>Sokndal</t>
  </si>
  <si>
    <t>Strand</t>
  </si>
  <si>
    <t>Time</t>
  </si>
  <si>
    <t>Hå</t>
  </si>
  <si>
    <t>Lund</t>
  </si>
  <si>
    <t>Sandnes</t>
  </si>
  <si>
    <t>Arendal</t>
  </si>
  <si>
    <t>Bamle</t>
  </si>
  <si>
    <t>Birkenes</t>
  </si>
  <si>
    <t>Drangedal</t>
  </si>
  <si>
    <t>Farsund</t>
  </si>
  <si>
    <t>Flekkefjord</t>
  </si>
  <si>
    <t>Flesberg</t>
  </si>
  <si>
    <t>Flå</t>
  </si>
  <si>
    <t>Færder</t>
  </si>
  <si>
    <t>Gjerstad</t>
  </si>
  <si>
    <t>Gol</t>
  </si>
  <si>
    <t>Hjartdal</t>
  </si>
  <si>
    <t>Hemsedal</t>
  </si>
  <si>
    <t>Hol</t>
  </si>
  <si>
    <t>Hægebostad</t>
  </si>
  <si>
    <t>Kongsberg</t>
  </si>
  <si>
    <t>Kristiansand</t>
  </si>
  <si>
    <t>Kvinesdal</t>
  </si>
  <si>
    <t>Larvik</t>
  </si>
  <si>
    <t>Lillesand</t>
  </si>
  <si>
    <t>Lyngdal</t>
  </si>
  <si>
    <t>Midt Telemark</t>
  </si>
  <si>
    <t>Modum</t>
  </si>
  <si>
    <t>Nesbyen</t>
  </si>
  <si>
    <t>Nore og Uvdal</t>
  </si>
  <si>
    <t>Notodden</t>
  </si>
  <si>
    <t>Porsgrunn</t>
  </si>
  <si>
    <t>Ringerike</t>
  </si>
  <si>
    <t>Risør</t>
  </si>
  <si>
    <t>Rollag</t>
  </si>
  <si>
    <t>Sandefjord</t>
  </si>
  <si>
    <t>Siljan</t>
  </si>
  <si>
    <t>Sirdal</t>
  </si>
  <si>
    <t>Skien</t>
  </si>
  <si>
    <t>Tokke</t>
  </si>
  <si>
    <t>Tvedestrand</t>
  </si>
  <si>
    <t>Vegårshei</t>
  </si>
  <si>
    <t>Øvre Eiker</t>
  </si>
  <si>
    <t>Åmli</t>
  </si>
  <si>
    <t>Ål</t>
  </si>
  <si>
    <t>Korus Sør:</t>
  </si>
  <si>
    <t>Korus Oslo:</t>
  </si>
  <si>
    <t>Oslo</t>
  </si>
  <si>
    <t>Korus Øst:</t>
  </si>
  <si>
    <t>Alvdal</t>
  </si>
  <si>
    <t>Bærum</t>
  </si>
  <si>
    <t>Dovre</t>
  </si>
  <si>
    <t>Eidskog</t>
  </si>
  <si>
    <t>Elverum</t>
  </si>
  <si>
    <t>Engerdal</t>
  </si>
  <si>
    <t>Gjøvik</t>
  </si>
  <si>
    <t>Gran</t>
  </si>
  <si>
    <t>Jevnaker</t>
  </si>
  <si>
    <t>Lillestrøm</t>
  </si>
  <si>
    <t>Lunner</t>
  </si>
  <si>
    <t>Lom</t>
  </si>
  <si>
    <t>Løten</t>
  </si>
  <si>
    <t>Moss</t>
  </si>
  <si>
    <t>Nes</t>
  </si>
  <si>
    <t>Nittedal</t>
  </si>
  <si>
    <t>Nordre Land</t>
  </si>
  <si>
    <t>Os i Østerdalen</t>
  </si>
  <si>
    <t>Rakkestad</t>
  </si>
  <si>
    <t>Rælingen</t>
  </si>
  <si>
    <t>Råde</t>
  </si>
  <si>
    <t>Skjåk</t>
  </si>
  <si>
    <t>Sør-Fron</t>
  </si>
  <si>
    <t>Tynset</t>
  </si>
  <si>
    <t>Ullensaker</t>
  </si>
  <si>
    <t>Vestby</t>
  </si>
  <si>
    <t>Vestre Toten</t>
  </si>
  <si>
    <t>Våler i Østfold</t>
  </si>
  <si>
    <t>Østre Toten</t>
  </si>
  <si>
    <t>Ås</t>
  </si>
  <si>
    <t>Åsnes</t>
  </si>
  <si>
    <t>Kommuner som er i gang med eller allerede har implementert BTI-modellen i dag</t>
  </si>
  <si>
    <t>Unike kommuner som er i gang med BTI (4 dupletter - Haugesund, Sauda, Suldal, Tysvær)</t>
  </si>
  <si>
    <t>Kommuner har ikke implementert BTI</t>
  </si>
  <si>
    <t>Beregninger for T3</t>
  </si>
  <si>
    <t>Status på BTI-modellen i Norge i dag</t>
  </si>
  <si>
    <t>Opplæring i BTI-modellen for relevante tjenester</t>
  </si>
  <si>
    <t>Løpende tverrfaglige BTI-møter</t>
  </si>
  <si>
    <t>Vedlikehold av kompetanse og rutiner</t>
  </si>
  <si>
    <t>Ledelsesforankring og organisering av BTI</t>
  </si>
  <si>
    <t>Etablering av BTI-modellen i kommuner uten modellen i dag</t>
  </si>
  <si>
    <t>Kostnad for å kurse nyansatte som ikke var på initiell opplæring</t>
  </si>
  <si>
    <t>Unike kommuner som er i gang med BTI (https://www.forebygging.no/BTI/BTI-arbeid-i-Norge/)</t>
  </si>
  <si>
    <t>Kommuner som ikke har implementert BTI</t>
  </si>
  <si>
    <t>Antall medlemmer i arbeidsgruppen som organisererer BTI per kommune</t>
  </si>
  <si>
    <t>Antall møter i arbeidsgruppen</t>
  </si>
  <si>
    <t xml:space="preserve">Gjennomsnittlig kostnad per kommune for å forankre og organisere BTI  </t>
  </si>
  <si>
    <t>Totalkostnad for ledelsesforankring og organisering</t>
  </si>
  <si>
    <t>Antall kommuner uten BTI</t>
  </si>
  <si>
    <t>Antall ansatte som får BTI-opplæring per kommune</t>
  </si>
  <si>
    <t>Timer opplæring per ansatt</t>
  </si>
  <si>
    <t>Timer brukt av kursleder per kommune</t>
  </si>
  <si>
    <t>Antar forberedelse og etterarbeid + selve gjennomføring tar 12 timer</t>
  </si>
  <si>
    <t>Kostnader</t>
  </si>
  <si>
    <t>Gjennomsnittlig kostnad per ansatt</t>
  </si>
  <si>
    <t>Gjennomsnittlig kostnad per kursleder</t>
  </si>
  <si>
    <t>Gjennomsnittlig totalkostnad per kommune</t>
  </si>
  <si>
    <t>Totalkostnad</t>
  </si>
  <si>
    <t>Antar en kjerneutvalg på i snitt 20 ansatte i skole, PPT, helse</t>
  </si>
  <si>
    <t>Antall tverrfaglige BTI-møter per kommune per år</t>
  </si>
  <si>
    <t>Antar månedlig koordineringsmøte</t>
  </si>
  <si>
    <t>Antall deltakere per møte</t>
  </si>
  <si>
    <t>Antar kjerneaktører fra skole, PPT, helse</t>
  </si>
  <si>
    <t>Varighet per møte</t>
  </si>
  <si>
    <t>Antall timer i arbeidsgruppe per kommune årlig</t>
  </si>
  <si>
    <t>Gjennomsnittlig årlig kostnad per kommune</t>
  </si>
  <si>
    <t>Ansvarlig for BTI per kommune med koordineringsfunksjon</t>
  </si>
  <si>
    <t>Andel årsverk til koordineringsfunksjon per kommune</t>
  </si>
  <si>
    <t>Årsverk i timer</t>
  </si>
  <si>
    <t>Antall timer for koordineringsfunksjon per kommune</t>
  </si>
  <si>
    <t>Kostnad per kommune for rolle</t>
  </si>
  <si>
    <t>Totalkostnad for alle kommuner</t>
  </si>
  <si>
    <t>Antar 20 % av en stilling i kommunen</t>
  </si>
  <si>
    <t>Antall timer årlig brukt på vedlikehold per kommune</t>
  </si>
  <si>
    <t>Antar behov for oppdatering av rutiner, enkel intern opplæring av nyansatte og erfaringsdeling</t>
  </si>
  <si>
    <t>Årlig kostnad per kommune</t>
  </si>
  <si>
    <t>Årlig kostnad totalt</t>
  </si>
  <si>
    <t>Antar 600 timer</t>
  </si>
  <si>
    <t>Revisjon av nasjonal faglig retningslinje for ADHD</t>
  </si>
  <si>
    <t>Revidere nasjonal faglig retningslinje for ADHD</t>
  </si>
  <si>
    <t>Sats for en time med arbeid for ansatte i kommunen</t>
  </si>
  <si>
    <t>Sats for en time med arbeid i fagutvikling</t>
  </si>
  <si>
    <t>Sats for en time med arbeid for ledere i kommunen</t>
  </si>
  <si>
    <t>Beregninger for T0</t>
  </si>
  <si>
    <t>Antall årsverk som kreves for å gjennomføre revisjonen</t>
  </si>
  <si>
    <t>Kostnad for å gjennomføre revisjon av faglig retningslinje for ADHD</t>
  </si>
  <si>
    <t>Kostnad for forankring</t>
  </si>
  <si>
    <t>Gjennomføring av SKILLS‑grupper</t>
  </si>
  <si>
    <t>Implementering av SKILLS</t>
  </si>
  <si>
    <t>Opplæring av gruppeledere</t>
  </si>
  <si>
    <t>Koordinering og forankring</t>
  </si>
  <si>
    <t>SKILLS - ungdomsgrupper</t>
  </si>
  <si>
    <t>SKILLS - barnegrupper</t>
  </si>
  <si>
    <t>Løpende oppfølging og vedlikehold</t>
  </si>
  <si>
    <t>Beregninger for T8B - SKILLS</t>
  </si>
  <si>
    <t>Tidsbruk</t>
  </si>
  <si>
    <t>Forutsetning: SKILLS gjennomføres som gruppebasert tilbud med 2 samlinger à 1,5 time for barn (5–13 år) og 3 samlinger à 1,5 time for ungdom (&gt;13 år), i tråd med eksisterende SKILLS‑modell.</t>
  </si>
  <si>
    <t>Sats for en time med arbeid for ansatte i BUP</t>
  </si>
  <si>
    <t>Antall BUP-enheter</t>
  </si>
  <si>
    <t>Antall gruppeledere per enhet</t>
  </si>
  <si>
    <t>Totalt antall gruppeledere</t>
  </si>
  <si>
    <t>Antall timer opplæring per gruppeleder</t>
  </si>
  <si>
    <t>Totalt antall timer opplæring</t>
  </si>
  <si>
    <t>Kostnad for opplæring av gruppeledere i BUP</t>
  </si>
  <si>
    <t>Kostnad for koordineringsmekanisme hos Hdir</t>
  </si>
  <si>
    <t>Antall møter per gruppe</t>
  </si>
  <si>
    <t>Gruppeledere per møte</t>
  </si>
  <si>
    <t>Gjennomføringstid per gruppe</t>
  </si>
  <si>
    <t>Forberedelse og etterarbeid per gruppe</t>
  </si>
  <si>
    <t>Totalt antall timer per gruppe</t>
  </si>
  <si>
    <t xml:space="preserve">Antall barn som deltar årlig </t>
  </si>
  <si>
    <t xml:space="preserve">Antall grupper per år </t>
  </si>
  <si>
    <t>Gruppestørrelse</t>
  </si>
  <si>
    <t>Barn per gruppe</t>
  </si>
  <si>
    <t>Totalt antall timer</t>
  </si>
  <si>
    <t xml:space="preserve">Årlig kostnad </t>
  </si>
  <si>
    <t>Årsverk for koordinering for løpende oppfølging og vedlikehold av programmet</t>
  </si>
  <si>
    <t>T4 - Tydeliggjøre forventningskrav til tilrettelegging og utprøving av ikke-medikamentelle tiltak før henvisning til BUP</t>
  </si>
  <si>
    <t>Kostnad for kursdeltagelse, første året</t>
  </si>
  <si>
    <t>Kilde (https://www.regjeringen.no/no/dokumenter/fornkle-og-forbedre-rapport-om-tematisk-organisering-av-psykisk-helsevern/id2993928/)</t>
  </si>
  <si>
    <t>Årsverk for koordinering fra Hdir</t>
  </si>
  <si>
    <t>Tall fra Helsedirektoratet (oversendt ifm. ADHD-rapporter) - personer blir behandlet i spesialisthelsetjenesten i alderen 6-12</t>
  </si>
  <si>
    <t>Ungdom per gruppe</t>
  </si>
  <si>
    <t>Tall fra Helsedirektoratet (oversendt ifm. ADHD-rapporter) - personer blir behandlet i spesialisthelsetjenesten i alderen 13-17 + et ekstra anslag for 18 år</t>
  </si>
  <si>
    <t>Utrede og beslutte funksjonsmål</t>
  </si>
  <si>
    <t>4 x 4 ukers arbeid med 37,5-timers arbeidsuker</t>
  </si>
  <si>
    <t>T8 - Psykoedukasjon for foreldre</t>
  </si>
  <si>
    <t>Påslag til lønnskostnader</t>
  </si>
  <si>
    <t xml:space="preserve">Inkluderer arbeidsgiveravgift, pensjonssparing, sykepenger osv. </t>
  </si>
  <si>
    <t xml:space="preserve">Timer i et årsverk </t>
  </si>
  <si>
    <t>Timelønn etter påslag</t>
  </si>
  <si>
    <t>Timelønn før påslag</t>
  </si>
  <si>
    <t>Årslønn</t>
  </si>
  <si>
    <t>Kilde</t>
  </si>
  <si>
    <t>https://www.ks.no/fagomrader/statistikk-og-analyse/lonnsstatistikk-for-ks-tariffomrade/lonnsstatistikk-om-kommunal-forvaltning/</t>
  </si>
  <si>
    <t>https://www.ssb.no/inntekt-og-forbruk/inntekt-og-formue/artikler/fastlegers-inntekter-og-kostnader-2020</t>
  </si>
  <si>
    <t>https://www.ssb.no/statbank/table/11418?sq=10066123</t>
  </si>
  <si>
    <t>Kommentar</t>
  </si>
  <si>
    <t>Kode 2634</t>
  </si>
  <si>
    <t>Kode 3353</t>
  </si>
  <si>
    <t>https://www.ssb.no/statbank/table/11418?sq=10099677</t>
  </si>
  <si>
    <t>Kode 2512</t>
  </si>
  <si>
    <t>https://www.helsedirektoratet.no/rapporter/helsedirektoratets-arsrapport-2024/pdf-av-rapporten/Helsedirektoratet%20%C3%A5rsrapport%202024%201.0.pdf/_/attachment/inline/89d43ab3-c405-4e3f-aa1f-b4efc30d313d:57ef28b7571a31e028c5ccb1e03d075f8675ae09/Helsedirektoratet%20%C3%A5rsrapport%202024%201.0.pdf</t>
  </si>
  <si>
    <t xml:space="preserve">Snitt av beløpene på 1220 </t>
  </si>
  <si>
    <t>HELSEFAGARB/HJELPEPL.</t>
  </si>
  <si>
    <t>ALLE STILLINGER I KOMMUNER</t>
  </si>
  <si>
    <t>Kode 1324</t>
  </si>
  <si>
    <t>Nasjonalt snitt 2020</t>
  </si>
  <si>
    <t>https://www.ssb.no/statbank/table/11418?sq=10025935</t>
  </si>
  <si>
    <t>Kode 2341</t>
  </si>
  <si>
    <t>https://www.ks.no/fagomrader/statistikk-og-analyse/lonnsstatistikk-for-ks-tariffomrade/lonnsvekst-i-ks-tariffomrade-fra-2024-til-2025/</t>
  </si>
  <si>
    <t>Kode 5311</t>
  </si>
  <si>
    <t>https://www.ssb.no/statbank/table/11418</t>
  </si>
  <si>
    <t>Kommunedirektører</t>
  </si>
  <si>
    <t>Antar 600 timer for å utvikle fagmateriellet, tilsvarer 4 FTE i 4 uker.</t>
  </si>
  <si>
    <t>Antall timer for å utvikle fagmateriell om barn</t>
  </si>
  <si>
    <t>Kostnad for å utvikle fagmateriell om barn</t>
  </si>
  <si>
    <t>Kostnad for at eksisterende ansatte gjennomfører et 2-timers kurs</t>
  </si>
  <si>
    <t>Kostnad for å utvikle fagmateriell om  barn</t>
  </si>
  <si>
    <t>1.1.</t>
  </si>
  <si>
    <t>Referansetid:</t>
  </si>
  <si>
    <t>Situasjon (tidspunkt)</t>
  </si>
  <si>
    <t>Målemetode:</t>
  </si>
  <si>
    <t>antall</t>
  </si>
  <si>
    <t>Måleenhet:</t>
  </si>
  <si>
    <t>20260225 08:00</t>
  </si>
  <si>
    <t>Sist endret:</t>
  </si>
  <si>
    <t>Offisiell statistikk</t>
  </si>
  <si>
    <t>Statistisk sentralbyrå</t>
  </si>
  <si>
    <t>Kilde:</t>
  </si>
  <si>
    <t>07459</t>
  </si>
  <si>
    <t>Intern referansekode:</t>
  </si>
  <si>
    <t>Ekstern PROD database O_STATMETA_24 som 2.4</t>
  </si>
  <si>
    <t>Database:</t>
  </si>
  <si>
    <t>mgh@ssb.no</t>
  </si>
  <si>
    <t xml:space="preserve"> +47 40 81 14 91</t>
  </si>
  <si>
    <t>Magnus Haug, Statistisk sentralbyrå</t>
  </si>
  <si>
    <t>Kontakt:</t>
  </si>
  <si>
    <t>Her inngår kommuner som er blitt splittet, og som derfor kan ikke summeres opp til en av de nåværende kommunene. Bruk knappen 'Velg verdier fra gruppe' om du ønsker å se tall for hver av de delte kommunene.</t>
  </si>
  <si>
    <t>Delte kommuner og uoppgitt:</t>
  </si>
  <si>
    <t>region:</t>
  </si>
  <si>
    <t>1850 Tysfjord ble 1.1.2020 delt mellom de nye kommunene 1806 Narvik og 1875 Hamarøy. Denne tabellen viser ikke historiske tall for disse nye kommunene. Tall for 1850 Tysfjord, 1849 Hamarøy, 1854 Ballangen og 1805 Narvik før 2020 finnes under valget 'Alle kommuner'.</t>
  </si>
  <si>
    <t>Hábmer - Hamarøy:</t>
  </si>
  <si>
    <t>Narvik:</t>
  </si>
  <si>
    <t>Før 2020 er tall for grunnkrets Lund regnet med under K-5060 Nærøysund. Fra 2020 tilhører grunnkretsen 5007 Namsos.</t>
  </si>
  <si>
    <t>Nærøysund:</t>
  </si>
  <si>
    <t>5012 Snillfjord ble 1.1.2020 delt mellom de nye kommunene 5055 Heim, 5056 Hitra og 5059 Orkland. Denne tabellen viser ikke historiske tall for disse nye kommunene. Tall for 5012 Snillfjord før 2020 finnes under valget 'Alle kommuner'.</t>
  </si>
  <si>
    <t>Orkland:</t>
  </si>
  <si>
    <t>Hitra:</t>
  </si>
  <si>
    <t>Heim:</t>
  </si>
  <si>
    <t>Før 2020 er tall for grunnkrets Verrabotn regnet med under K-5006 Steinkjer. Fra 2020 tilhører grunnkretsen 5054 Indre Fosen.</t>
  </si>
  <si>
    <t>Indre Fosen:</t>
  </si>
  <si>
    <t>Namsos - Nåavmesjenjaelmie:</t>
  </si>
  <si>
    <t>Steinkjer - Stïentje:</t>
  </si>
  <si>
    <t>Hele tidsserien er beregnet ut fra kommunegrensene fra 2020. Den tidligere kommunen Klæbu er dermed medregnet før 2020.</t>
  </si>
  <si>
    <t>Trondheim - Tråante:</t>
  </si>
  <si>
    <t>I årene 2020-2023 var Haram en del av Ålesund.</t>
  </si>
  <si>
    <t>Haram:</t>
  </si>
  <si>
    <t>Før 2020 er tall for grunnkretsene Bjørke og Viddalen regnet med under K-1520 Ørsta. Fra 2020 tilhører grunnkretsene 1577 Volda.</t>
  </si>
  <si>
    <t>Volda:</t>
  </si>
  <si>
    <t>Før 2020 er tall for grunnkrets Orten regnet med under K-1508 Ålesund. Fra 2020 er grunnkretsen regnet med under K-1547 Aukra.</t>
  </si>
  <si>
    <t>Aukra:</t>
  </si>
  <si>
    <t>Ørsta:</t>
  </si>
  <si>
    <t>Ålesund:</t>
  </si>
  <si>
    <t>Før 2020 er tall for grunnkretsene Totland, Bryggja og Maurstad regnet med under K-4602 Kinn. Fra 2020 tilhører grunnkretsene 4649 Stad.</t>
  </si>
  <si>
    <t>Stad:</t>
  </si>
  <si>
    <t>Før 2020 er tall for grunnkrets Nessane regnet med under K-4640 Sogndal. Fra 2020 tilhører grunnkretsen 4638 Høyanger.</t>
  </si>
  <si>
    <t>Sogndal:</t>
  </si>
  <si>
    <t>Høyanger:</t>
  </si>
  <si>
    <t>Før 2020 er tall for grunnkretsene Djønno og Tjoflot regnet med under K-4618 Ullensvang. Fra 2020 tilhører grunnkretsene 4621 Voss.</t>
  </si>
  <si>
    <t>Voss:</t>
  </si>
  <si>
    <t>Ullensvang:</t>
  </si>
  <si>
    <t>Kinn:</t>
  </si>
  <si>
    <t>Hele tidsserien er beregnet ut fra kommunegrensene fra 2020. De tidligere kommunene Finnøy og Rennesøy er dermed medregnet før 2020.  
Før 2020 er tall for grunnkrets Vestersjø regnet med under K-1133 Hjelmeland. Fra 2020 tilhører grunnkretsen 1103 Stavanger.</t>
  </si>
  <si>
    <t>Hjelmeland:</t>
  </si>
  <si>
    <t>Før 2020 er tall for grunnkrets Kolabygda og deler av Sognesand og Forsand regnet med under K-1108 Sandnes. Fra 2020 tilhører områdene 1130 Strand.</t>
  </si>
  <si>
    <t>Strand:</t>
  </si>
  <si>
    <t>Sandnes:</t>
  </si>
  <si>
    <t>Stavanger:</t>
  </si>
  <si>
    <t>Før 2020 er tall for grunnkretsene Andgard og Hjuksebø regnet med under K-4020 Midt-Telemark. Fra 2020 er grunnkretsene regnet med under K-4005 Notodden.</t>
  </si>
  <si>
    <t>Midt-Telemark:</t>
  </si>
  <si>
    <t>Notodden:</t>
  </si>
  <si>
    <t>Før 2020 er tall for grunnkrets Mulvika regnet med under K-3905 Tønsberg. Fra 2020 er grunnkretsen regnet med under K-3903 Holmestrand.</t>
  </si>
  <si>
    <t>Tønsberg:</t>
  </si>
  <si>
    <t>Før 2020 er tall for Pauliveien og Skoppum regnet med under K-3905 Tønsberg. Fra 2020 er områdene regnet med under K-3901 Horten. Før 2020 er tall for Haugan regnet med under K-3901 Horten. Fra 2020 er området regnet med under K-3905 Tønsberg.</t>
  </si>
  <si>
    <t>Holmestrand:</t>
  </si>
  <si>
    <t>Horten:</t>
  </si>
  <si>
    <t>Før 2020 er tall for grunnkrets Rånåsfoss og deler av Hellesjø regnet med under K-3205 Lillestrøm. Fra 2020 er områdene regnet med under K-3228 Nes.</t>
  </si>
  <si>
    <t>Nes:</t>
  </si>
  <si>
    <t>Før 2020 er tall for Tandbergløkka (del av grunnkrets Østensjø) regnet med under K-3218 Ås. Fra 2020 er området regnet med under K-3207 Nordre Follo.</t>
  </si>
  <si>
    <t>Ås:</t>
  </si>
  <si>
    <t>Nordre Follo:</t>
  </si>
  <si>
    <t>Lillestrøm:</t>
  </si>
  <si>
    <t>[Se liste over endringer i de regionale inndelingene](https://www.ssb.no/offentlig-sektor/kommunekatalog/endringer-i-de-regionale-inndelingene).</t>
  </si>
  <si>
    <t>K-0301 Oslo - Oslove</t>
  </si>
  <si>
    <t>K-4601 Bergen</t>
  </si>
  <si>
    <t>K-5001 Trondheim - Tråante</t>
  </si>
  <si>
    <t>K-1103 Stavanger</t>
  </si>
  <si>
    <t>K-3201 Bærum</t>
  </si>
  <si>
    <t>K-4204 Kristiansand</t>
  </si>
  <si>
    <t>K-3203 Asker</t>
  </si>
  <si>
    <t>K-3301 Drammen</t>
  </si>
  <si>
    <t>K-3205 Lillestrøm</t>
  </si>
  <si>
    <t>K-1108 Sandnes</t>
  </si>
  <si>
    <t>K-3107 Fredrikstad</t>
  </si>
  <si>
    <t>K-5501 Tromsø</t>
  </si>
  <si>
    <t>K-3207 Nordre Follo</t>
  </si>
  <si>
    <t>K-3907 Sandefjord</t>
  </si>
  <si>
    <t>K-3105 Sarpsborg</t>
  </si>
  <si>
    <t>K-1508 Ålesund</t>
  </si>
  <si>
    <t>K-3905 Tønsberg</t>
  </si>
  <si>
    <t>K-4003 Skien</t>
  </si>
  <si>
    <t>K-3222 Lørenskog</t>
  </si>
  <si>
    <t>K-1804 Bodø</t>
  </si>
  <si>
    <t>K-3209 Ullensaker</t>
  </si>
  <si>
    <t>K-3103 Moss</t>
  </si>
  <si>
    <t>K-1149 Karmøy</t>
  </si>
  <si>
    <t>K-3118 Indre Østfold</t>
  </si>
  <si>
    <t>K-3909 Larvik</t>
  </si>
  <si>
    <t>K-4626 Øygarden</t>
  </si>
  <si>
    <t>K-4203 Arendal</t>
  </si>
  <si>
    <t>K-1106 Haugesund</t>
  </si>
  <si>
    <t>K-4627 Askøy</t>
  </si>
  <si>
    <t>K-4001 Porsgrunn</t>
  </si>
  <si>
    <t>K-3411 Ringsaker</t>
  </si>
  <si>
    <t>K-1124 Sola</t>
  </si>
  <si>
    <t>K-1506 Molde</t>
  </si>
  <si>
    <t>K-4631 Alver</t>
  </si>
  <si>
    <t>K-3312 Lier</t>
  </si>
  <si>
    <t>K-3403 Hamar</t>
  </si>
  <si>
    <t>K-3240 Eidsvoll</t>
  </si>
  <si>
    <t>K-4624 Bjørnafjorden</t>
  </si>
  <si>
    <t>K-3232 Nittedal</t>
  </si>
  <si>
    <t>K-3101 Halden</t>
  </si>
  <si>
    <t>K-3305 Ringerike</t>
  </si>
  <si>
    <t>K-3407 Gjøvik</t>
  </si>
  <si>
    <t>K-3405 Lillehammer</t>
  </si>
  <si>
    <t>K-3303 Kongsberg</t>
  </si>
  <si>
    <t>K-4202 Grimstad</t>
  </si>
  <si>
    <t>K-3911 Færder</t>
  </si>
  <si>
    <t>K-3228 Nes</t>
  </si>
  <si>
    <t>K-3903 Holmestrand</t>
  </si>
  <si>
    <t>K-5035 Stjørdal</t>
  </si>
  <si>
    <t>K-3901 Horten</t>
  </si>
  <si>
    <t>K-1120 Klepp</t>
  </si>
  <si>
    <t>K-4647 Sunnfjord</t>
  </si>
  <si>
    <t>K-1119 Hå</t>
  </si>
  <si>
    <t>K-5601 Alta</t>
  </si>
  <si>
    <t>K-4205 Lindesnes</t>
  </si>
  <si>
    <t>K-1121 Time</t>
  </si>
  <si>
    <t>K-1833 Rana - Raane</t>
  </si>
  <si>
    <t>K-3224 Rælingen</t>
  </si>
  <si>
    <t>K-3212 Nesodden</t>
  </si>
  <si>
    <t>K-5503 Harstad - Hárstták</t>
  </si>
  <si>
    <t>K-3218 Ås</t>
  </si>
  <si>
    <t>K-5006 Steinkjer - Stïentje</t>
  </si>
  <si>
    <t>K-3216 Vestby</t>
  </si>
  <si>
    <t>K-3413 Stange</t>
  </si>
  <si>
    <t>K-1505 Kristiansund</t>
  </si>
  <si>
    <t>K-5037 Levanger - Levangke</t>
  </si>
  <si>
    <t>K-4614 Stord</t>
  </si>
  <si>
    <t>K-3314 Øvre Eiker</t>
  </si>
  <si>
    <t>K-3420 Elverum</t>
  </si>
  <si>
    <t>K-1806 Narvik</t>
  </si>
  <si>
    <t>K-5028 Melhus</t>
  </si>
  <si>
    <t>K-3238 Nannestad</t>
  </si>
  <si>
    <t>K-5059 Orkland</t>
  </si>
  <si>
    <t>K-3226 Aurskog-Høland</t>
  </si>
  <si>
    <t>K-4602 Kinn</t>
  </si>
  <si>
    <t>K-5031 Malvik</t>
  </si>
  <si>
    <t>K-4223 Vennesla</t>
  </si>
  <si>
    <t>K-4621 Voss</t>
  </si>
  <si>
    <t>K-1130 Strand</t>
  </si>
  <si>
    <t>K-1101 Eigersund</t>
  </si>
  <si>
    <t>K-1122 Gjesdal</t>
  </si>
  <si>
    <t>K-3401 Kongsvinger</t>
  </si>
  <si>
    <t>K-5038 Verdal</t>
  </si>
  <si>
    <t>K-3214 Frogn</t>
  </si>
  <si>
    <t>K-5007 Namsos - Nåavmesjenjaelmie</t>
  </si>
  <si>
    <t>K-1146 Tysvær</t>
  </si>
  <si>
    <t>K-5530 Senja</t>
  </si>
  <si>
    <t>K-4613 Bømlo</t>
  </si>
  <si>
    <t>K-3316 Modum</t>
  </si>
  <si>
    <t>K-1579 Hustadvika</t>
  </si>
  <si>
    <t>K-1127 Randaberg</t>
  </si>
  <si>
    <t>K-3442 Østre Toten</t>
  </si>
  <si>
    <t>K-4640 Sogndal</t>
  </si>
  <si>
    <t>K-4012 Bamble</t>
  </si>
  <si>
    <t>K-4617 Kvinnherad</t>
  </si>
  <si>
    <t>K-4225 Lyngdal</t>
  </si>
  <si>
    <t>K-1824 Vefsn</t>
  </si>
  <si>
    <t>K-4005 Notodden</t>
  </si>
  <si>
    <t>K-4215 Lillesand</t>
  </si>
  <si>
    <t>K-3220 Enebakk</t>
  </si>
  <si>
    <t>K-3443 Vestre Toten</t>
  </si>
  <si>
    <t>K-3446 Gran</t>
  </si>
  <si>
    <t>K-1860 Vestvågøy</t>
  </si>
  <si>
    <t>K-1520 Ørsta</t>
  </si>
  <si>
    <t>K-1531 Sula</t>
  </si>
  <si>
    <t>K-1577 Volda</t>
  </si>
  <si>
    <t>K-1870 Sortland - Suortá</t>
  </si>
  <si>
    <t>K-5060 Nærøysund</t>
  </si>
  <si>
    <t>K-5603 Hammerfest - Hámmerfeasta</t>
  </si>
  <si>
    <t>K-4020 Midt-Telemark</t>
  </si>
  <si>
    <t>K-5057 Ørland</t>
  </si>
  <si>
    <t>K-1532 Giske</t>
  </si>
  <si>
    <t>K-5029 Skaun</t>
  </si>
  <si>
    <t>K-4649 Stad</t>
  </si>
  <si>
    <t>K-1160 Vindafjord</t>
  </si>
  <si>
    <t>K-4206 Farsund</t>
  </si>
  <si>
    <t>K-4618 Ullensvang</t>
  </si>
  <si>
    <t>K-4207 Flekkefjord</t>
  </si>
  <si>
    <t>K-1516 Ulstein</t>
  </si>
  <si>
    <t>K-5054 Indre Fosen</t>
  </si>
  <si>
    <t>K-1580 Haram</t>
  </si>
  <si>
    <t>K-3234 Lunner</t>
  </si>
  <si>
    <t>K-1515 Herøy (Møre og Romsdal)</t>
  </si>
  <si>
    <t>K-1865 Vågan</t>
  </si>
  <si>
    <t>K-4622 Kvam</t>
  </si>
  <si>
    <t>K-4014 Kragerø</t>
  </si>
  <si>
    <t>K-4630 Osterøy</t>
  </si>
  <si>
    <t>K-5605 Sør-Varanger</t>
  </si>
  <si>
    <t>K-1841 Fauske - Fuossko</t>
  </si>
  <si>
    <t>K-3120 Rakkestad</t>
  </si>
  <si>
    <t>K-3310 Hole</t>
  </si>
  <si>
    <t>K-1866 Hadsel</t>
  </si>
  <si>
    <t>K-5021 Oppdal</t>
  </si>
  <si>
    <t>K-1813 Brønnøy</t>
  </si>
  <si>
    <t>K-3412 Løten</t>
  </si>
  <si>
    <t>K-3230 Gjerdrum</t>
  </si>
  <si>
    <t>K-3112 Råde</t>
  </si>
  <si>
    <t>K-3114 Våler (Østfold)</t>
  </si>
  <si>
    <t>K-5053 Inderøy</t>
  </si>
  <si>
    <t>K-4651 Stryn</t>
  </si>
  <si>
    <t>K-1528 Sykkylven</t>
  </si>
  <si>
    <t>K-1539 Rauma</t>
  </si>
  <si>
    <t>K-1820 Alstahaug</t>
  </si>
  <si>
    <t>K-4214 Froland</t>
  </si>
  <si>
    <t>K-1535 Vestnes</t>
  </si>
  <si>
    <t>K-3415 Sør-Odal</t>
  </si>
  <si>
    <t>K-3236 Jevnaker</t>
  </si>
  <si>
    <t>K-4625 Austevoll</t>
  </si>
  <si>
    <t>K-4227 Kvinesdal</t>
  </si>
  <si>
    <t>K-1563 Sunndal</t>
  </si>
  <si>
    <t>K-4216 Birkenes</t>
  </si>
  <si>
    <t>K-5027 Midtre Gauldal</t>
  </si>
  <si>
    <t>K-4650 Gloppen</t>
  </si>
  <si>
    <t>K-4612 Sveio</t>
  </si>
  <si>
    <t>K-5524 Målselv</t>
  </si>
  <si>
    <t>K-1517 Hareid</t>
  </si>
  <si>
    <t>K-4213 Tvedestrand</t>
  </si>
  <si>
    <t>K-4644 Luster</t>
  </si>
  <si>
    <t>K-1837 Meløy</t>
  </si>
  <si>
    <t>K-4018 Nome</t>
  </si>
  <si>
    <t>K-3427 Tynset</t>
  </si>
  <si>
    <t>K-3448 Nordre Land</t>
  </si>
  <si>
    <t>K-4201 Risør</t>
  </si>
  <si>
    <t>K-5055 Heim</t>
  </si>
  <si>
    <t>K-1554 Averøy</t>
  </si>
  <si>
    <t>K-1566 Surnadal</t>
  </si>
  <si>
    <t>K-3451 Nord-Aurdal</t>
  </si>
  <si>
    <t>K-5014 Frøya</t>
  </si>
  <si>
    <t>K-3418 Åsnes</t>
  </si>
  <si>
    <t>K-3441 Gausdal</t>
  </si>
  <si>
    <t>K-3421 Trysil</t>
  </si>
  <si>
    <t>K-5056 Hitra</t>
  </si>
  <si>
    <t>K-5607 Vadsø</t>
  </si>
  <si>
    <t>K-5025 Røros - Rosse</t>
  </si>
  <si>
    <t>K-3440 Øyer</t>
  </si>
  <si>
    <t>K-5532 Balsfjord</t>
  </si>
  <si>
    <t>K-3416 Eidskog</t>
  </si>
  <si>
    <t>K-1135 Sauda</t>
  </si>
  <si>
    <t>K-3436 Nord-Fron</t>
  </si>
  <si>
    <t>K-5047 Overhalla</t>
  </si>
  <si>
    <t>K-3437 Sel</t>
  </si>
  <si>
    <t>K-4643 Årdal</t>
  </si>
  <si>
    <t>K-1840 Saltdal</t>
  </si>
  <si>
    <t>K-3447 Søndre Land</t>
  </si>
  <si>
    <t>K-5544 Nordreisa - Ráisa - Raisi</t>
  </si>
  <si>
    <t>K-3328 Ål</t>
  </si>
  <si>
    <t>K-4611 Etne</t>
  </si>
  <si>
    <t>K-4026 Tinn</t>
  </si>
  <si>
    <t>K-3324 Gol</t>
  </si>
  <si>
    <t>K-1134 Suldal</t>
  </si>
  <si>
    <t>K-1832 Hemnes</t>
  </si>
  <si>
    <t>K-3439 Ringebu</t>
  </si>
  <si>
    <t>K-5058 Åfjord</t>
  </si>
  <si>
    <t>K-4219 Evje og Hornnes</t>
  </si>
  <si>
    <t>K-1547 Aukra</t>
  </si>
  <si>
    <t>K-1868 Øksnes</t>
  </si>
  <si>
    <t>K-5032 Selbu</t>
  </si>
  <si>
    <t>K-1871 Andøy</t>
  </si>
  <si>
    <t>K-3116 Skiptvet</t>
  </si>
  <si>
    <t>K-3414 Nord-Odal</t>
  </si>
  <si>
    <t>K-4016 Drangedal</t>
  </si>
  <si>
    <t>K-4628 Vaksdal</t>
  </si>
  <si>
    <t>K-1111 Sokndal</t>
  </si>
  <si>
    <t>K-4036 Vinje</t>
  </si>
  <si>
    <t>K-3330 Hol</t>
  </si>
  <si>
    <t>K-1112 Lund</t>
  </si>
  <si>
    <t>K-5520 Bardu</t>
  </si>
  <si>
    <t>K-5526 Sørreisa</t>
  </si>
  <si>
    <t>K-1525 Stranda</t>
  </si>
  <si>
    <t>K-4646 Fjaler</t>
  </si>
  <si>
    <t>K-3422 Åmot</t>
  </si>
  <si>
    <t>K-3110 Hvaler</t>
  </si>
  <si>
    <t>K-5512 Dielddanuorri - Tjeldsund</t>
  </si>
  <si>
    <t>K-4615 Fitjar</t>
  </si>
  <si>
    <t>K-1114 Bjerkreim</t>
  </si>
  <si>
    <t>K-3122 Marker</t>
  </si>
  <si>
    <t>K-3435 Vågå</t>
  </si>
  <si>
    <t>K-4638 Høyanger</t>
  </si>
  <si>
    <t>K-3242 Hurdal</t>
  </si>
  <si>
    <t>K-5622 Porsanger - Porsángu - Porsanki</t>
  </si>
  <si>
    <t>K-4616 Tysnes</t>
  </si>
  <si>
    <t>K-3417 Grue</t>
  </si>
  <si>
    <t>K-5612 Guovdageaidnu - Kautokeino</t>
  </si>
  <si>
    <t>K-4648 Bremanger</t>
  </si>
  <si>
    <t>K-4632 Austrheim</t>
  </si>
  <si>
    <t>K-3453 Øystre Slidre</t>
  </si>
  <si>
    <t>K-4645 Askvoll</t>
  </si>
  <si>
    <t>K-1576 Aure</t>
  </si>
  <si>
    <t>K-1133 Hjelmeland</t>
  </si>
  <si>
    <t>K-3438 Sør-Fron</t>
  </si>
  <si>
    <t>K-3332 Sigdal</t>
  </si>
  <si>
    <t>K-3419 Våler (Innlandet)</t>
  </si>
  <si>
    <t>K-4022 Seljord</t>
  </si>
  <si>
    <t>K-1822 Leirfjord</t>
  </si>
  <si>
    <t>K-1560 Tingvoll</t>
  </si>
  <si>
    <t>K-3334 Flesberg</t>
  </si>
  <si>
    <t>K-3326 Hemsedal</t>
  </si>
  <si>
    <t>K-3428 Alvdal</t>
  </si>
  <si>
    <t>K-5510 Kvæfjord</t>
  </si>
  <si>
    <t>K-1557 Gjemnes</t>
  </si>
  <si>
    <t>K-5542 Skjervøy</t>
  </si>
  <si>
    <t>K-3322 Nesbyen</t>
  </si>
  <si>
    <t>K-5036 Frosta</t>
  </si>
  <si>
    <t>K-4623 Samnanger</t>
  </si>
  <si>
    <t>K-4010 Siljan</t>
  </si>
  <si>
    <t>K-1511 Vanylven</t>
  </si>
  <si>
    <t>K-4212 Vegårshei</t>
  </si>
  <si>
    <t>K-1875 Hábmer - Hamarøy</t>
  </si>
  <si>
    <t>K-5022 Rennebu</t>
  </si>
  <si>
    <t>K-5628 Deatnu - Tana</t>
  </si>
  <si>
    <t>K-4639 Vik</t>
  </si>
  <si>
    <t>K-3449 Sør-Aurdal</t>
  </si>
  <si>
    <t>K-1848 Steigen</t>
  </si>
  <si>
    <t>K-5045 Grong</t>
  </si>
  <si>
    <t>K-1578 Fjord</t>
  </si>
  <si>
    <t>K-5034 Meråker</t>
  </si>
  <si>
    <t>K-1514 Sande (Møre og Romsdal)</t>
  </si>
  <si>
    <t>K-4642 Lærdal</t>
  </si>
  <si>
    <t>K-3318 Krødsherad</t>
  </si>
  <si>
    <t>K-5620 Nordkapp</t>
  </si>
  <si>
    <t>K-5610 Kárásjohka - Karasjok</t>
  </si>
  <si>
    <t>K-4211 Gjerstad</t>
  </si>
  <si>
    <t>K-4028 Kviteseid</t>
  </si>
  <si>
    <t>K-5041 Snåase - Snåsa</t>
  </si>
  <si>
    <t>K-4228 Sirdal</t>
  </si>
  <si>
    <t>K-4034 Tokke</t>
  </si>
  <si>
    <t>K-5536 Lyngen - Ivgu - Yykeä</t>
  </si>
  <si>
    <t>K-4226 Hægebostad</t>
  </si>
  <si>
    <t>K-4635 Gulen</t>
  </si>
  <si>
    <t>K-3431 Dovre</t>
  </si>
  <si>
    <t>K-3338 Nore og Uvdal</t>
  </si>
  <si>
    <t>K-3434 Lom</t>
  </si>
  <si>
    <t>K-5522 Salangen</t>
  </si>
  <si>
    <t>K-1867 Bø</t>
  </si>
  <si>
    <t>K-3452 Vestre Slidre</t>
  </si>
  <si>
    <t>K-1812 Sømna</t>
  </si>
  <si>
    <t>K-5061 Rindal</t>
  </si>
  <si>
    <t>K-1573 Smøla</t>
  </si>
  <si>
    <t>K-1818 Herøy (Nordland)</t>
  </si>
  <si>
    <t>K-5026 Holtålen</t>
  </si>
  <si>
    <t>K-3432 Lesja</t>
  </si>
  <si>
    <t>K-3426 Tolga</t>
  </si>
  <si>
    <t>K-5632 Båtsfjord</t>
  </si>
  <si>
    <t>K-3433 Skjåk</t>
  </si>
  <si>
    <t>K-4217 Åmli</t>
  </si>
  <si>
    <t>K-4218 Iveland</t>
  </si>
  <si>
    <t>K-1834 Lurøy</t>
  </si>
  <si>
    <t>K-4634 Masfjorden</t>
  </si>
  <si>
    <t>K-1828 Nesna</t>
  </si>
  <si>
    <t>K-5534 Karlsøy</t>
  </si>
  <si>
    <t>K-4024 Hjartdal</t>
  </si>
  <si>
    <t>K-3454 Vang</t>
  </si>
  <si>
    <t>K-1838 Gildeskål</t>
  </si>
  <si>
    <t>K-4030 Nissedal</t>
  </si>
  <si>
    <t>K-4641 Aurland</t>
  </si>
  <si>
    <t>K-3423 Stor-Elvdal</t>
  </si>
  <si>
    <t>K-5538 Storfjord - Omasvuotna - Omasvuono</t>
  </si>
  <si>
    <t>K-1845 Sørfold - Fuolldá</t>
  </si>
  <si>
    <t>K-3430 Os</t>
  </si>
  <si>
    <t>K-1851 Lødingen</t>
  </si>
  <si>
    <t>K-3450 Etnedal</t>
  </si>
  <si>
    <t>K-3424 Rendalen</t>
  </si>
  <si>
    <t>K-5634 Vardø</t>
  </si>
  <si>
    <t>K-5540 Gáivuotna - Kåfjord - Kaivuono</t>
  </si>
  <si>
    <t>K-3336 Rollag</t>
  </si>
  <si>
    <t>K-1827 Dønna</t>
  </si>
  <si>
    <t>K-1811 Bindal</t>
  </si>
  <si>
    <t>K-3124 Aremark</t>
  </si>
  <si>
    <t>K-3429 Folldal</t>
  </si>
  <si>
    <t>K-5046 Høylandet</t>
  </si>
  <si>
    <t>K-4032 Fyresdal</t>
  </si>
  <si>
    <t>K-4620 Ulvik</t>
  </si>
  <si>
    <t>K-1825 Grane</t>
  </si>
  <si>
    <t>K-5042 Lierne</t>
  </si>
  <si>
    <t>K-4221 Valle</t>
  </si>
  <si>
    <t>K-1836 Rødøy</t>
  </si>
  <si>
    <t>K-1826 Aarborte - Hattfjelldal</t>
  </si>
  <si>
    <t>K-3320 Flå</t>
  </si>
  <si>
    <t>K-4220 Bygland</t>
  </si>
  <si>
    <t>K-1815 Vega</t>
  </si>
  <si>
    <t>K-5518 Loabák - Lavangen</t>
  </si>
  <si>
    <t>K-4619 Eidfjord</t>
  </si>
  <si>
    <t>K-1853 Evenes - Evenássi</t>
  </si>
  <si>
    <t>K-4222 Bykle</t>
  </si>
  <si>
    <t>K-5624 Lebesby</t>
  </si>
  <si>
    <t>K-4637 Hyllestad</t>
  </si>
  <si>
    <t>K-4224 Åseral</t>
  </si>
  <si>
    <t>K-5049 Flatanger</t>
  </si>
  <si>
    <t>K-3425 Engerdal</t>
  </si>
  <si>
    <t>K-1859 Flakstad</t>
  </si>
  <si>
    <t>K-5514 Ibestad</t>
  </si>
  <si>
    <t>K-1145 Bokn</t>
  </si>
  <si>
    <t>K-5528 Dyrøy</t>
  </si>
  <si>
    <t>K-1839 Beiarn</t>
  </si>
  <si>
    <t>K-5516 Gratangen - Rivtták</t>
  </si>
  <si>
    <t>K-5616 Hasvik</t>
  </si>
  <si>
    <t>K-5546 Kvænangen</t>
  </si>
  <si>
    <t>K-5626 Gamvik</t>
  </si>
  <si>
    <t>K-5618 Måsøy</t>
  </si>
  <si>
    <t>K-5020 Osen</t>
  </si>
  <si>
    <t>K-5636 Unjárga - Nesseby</t>
  </si>
  <si>
    <t>K-5044 Namsskogan</t>
  </si>
  <si>
    <t>K-5033 Tydal</t>
  </si>
  <si>
    <t>K-1144 Kvitsøy</t>
  </si>
  <si>
    <t>K-5630 Berlevåg</t>
  </si>
  <si>
    <t>K-5052 Leka</t>
  </si>
  <si>
    <t>K-1857 Værøy</t>
  </si>
  <si>
    <t>K-4636 Solund</t>
  </si>
  <si>
    <t>K-1874 Moskenes</t>
  </si>
  <si>
    <t>K-4633 Fedje</t>
  </si>
  <si>
    <t>K-5614 Loppa</t>
  </si>
  <si>
    <t>K-1816 Vevelstad</t>
  </si>
  <si>
    <t>K-4629 Modalen</t>
  </si>
  <si>
    <t>K-5043 Raarvihke - Røyrvik</t>
  </si>
  <si>
    <t>K-1856 Røst</t>
  </si>
  <si>
    <t>K-1835 Træna</t>
  </si>
  <si>
    <t>K-1151 Utsira</t>
  </si>
  <si>
    <t>K-Rest Delte kommuner og uoppgitt</t>
  </si>
  <si>
    <t>K-23 Kontinentalsokkelen</t>
  </si>
  <si>
    <t>K-21-22 Svalbard og Jan Mayen</t>
  </si>
  <si>
    <t>Antall foreldrepar med behov for foreldrestøtteprogrammer</t>
  </si>
  <si>
    <t>0-17 år</t>
  </si>
  <si>
    <t>Kommune</t>
  </si>
  <si>
    <t>2026</t>
  </si>
  <si>
    <t>Personer</t>
  </si>
  <si>
    <t>07459: Befolkning, etter region, statistikkvariabel, år og alder</t>
  </si>
  <si>
    <t>T2</t>
  </si>
  <si>
    <t>(i snitt 1,2 henvisninger per fastlege per år)</t>
  </si>
  <si>
    <t>T5 - Utrede behov for systematisk funksjonskartlegging</t>
  </si>
  <si>
    <t>Uspesifisert</t>
  </si>
  <si>
    <t>Antakelse, 5 personer i 50% rolle.</t>
  </si>
  <si>
    <t>Kunnskapsoppsummering fra FHI</t>
  </si>
  <si>
    <t>Erfaringstall fra hva en slik kunnskapsoppsummering typisk koster</t>
  </si>
  <si>
    <t>Tverrfaglig arbeidsgruppe for forankring av arbeidet</t>
  </si>
  <si>
    <t>Timer per medlem i arbeidsgruppen</t>
  </si>
  <si>
    <t>Antar 8 personer som deltar i arbeidsgruppen</t>
  </si>
  <si>
    <t>Medlemmene deltaer på en heldagssamling i måneden pluss litt for- og etterabeid, så antar 20 timer per måned i 12 måneder. </t>
  </si>
  <si>
    <t>Totalt antall timer for medlemmer i arbeidsgruppen</t>
  </si>
  <si>
    <t>Uspesifisert kostnadspåslag</t>
  </si>
  <si>
    <t>Antar 600 timer for å utvikle fagmateriellet, tilsvarer 4 FTE i 4 uker</t>
  </si>
  <si>
    <t>Tilgjengeliggjøring av digitalt materiale for foreldre</t>
  </si>
  <si>
    <t>Utvikling av innhold</t>
  </si>
  <si>
    <t>Digitalisering + årlig vedlikehold</t>
  </si>
  <si>
    <t>5.0.0</t>
  </si>
  <si>
    <t>5.1.0</t>
  </si>
  <si>
    <t>Placeholder - vet at det er rundt 250 PPT-er i Norge, og antar rundt 10 ansatte per PP-tjeneste</t>
  </si>
  <si>
    <t>Beregninger for T8A</t>
  </si>
  <si>
    <t>Bestiller en ekstern utredning med beslutning av funksjonsmål</t>
  </si>
  <si>
    <t>Antar kostnad for utredning på 4 millioner kroner</t>
  </si>
  <si>
    <t>Antall år det tar å utrede og beslutte funksjonsmål</t>
  </si>
  <si>
    <t>Kostnad år 1</t>
  </si>
  <si>
    <t>Kostnad år 2</t>
  </si>
  <si>
    <t>T8A - Psykoedukasjon for foreldre med barn som har ADHD</t>
  </si>
  <si>
    <t>Gjennomføring av gruppebasert psykoedukasjon</t>
  </si>
  <si>
    <t>Gjennomføring av psykoedukasjon for foreldre</t>
  </si>
  <si>
    <t>Kildene varierer her, informant på intervju i forbindelse med rapport om ADHD hos barn og unge informerte om en andel på 20% på BUP'en der han var en del av inntaksteamet, mens andre steder kan andelen være så høy som 50% https://www.aftenposten.no/norge/i/almxBL/hvor-i-landet-du-bor-kan-avgjoere-om-du-faar-en-adhd-diagnose (betalingsmur), vi legger oss derfor på 35%, det offentlig tilgjengelige datagrunnlaget er begrenset, dersom dere har god data på dette så oppdaterer vi gjerne estimatet</t>
  </si>
  <si>
    <t xml:space="preserve">Antall voksne som deltar årlig </t>
  </si>
  <si>
    <t>11000 barn og 13464 ungdommer blir behandlet i spesialisthelsetjenesten (tall fra Helsedirektoratet). Antar at 1,5 foreldre per barn møter opp for psykoedukasjon</t>
  </si>
  <si>
    <t>Voksne per gruppe (antar betraktelig større grupper enn for barn)</t>
  </si>
  <si>
    <t xml:space="preserve">Kan vurdere å legge inn en </t>
  </si>
  <si>
    <t xml:space="preserve">koordineringsfunksjon med et </t>
  </si>
  <si>
    <t>halvt årsverk fra H-dir eller andre?</t>
  </si>
  <si>
    <t>Overordnet tiltak - revisjon av faglig retningslinje for ADHD</t>
  </si>
  <si>
    <t>Andel av ansatte som deltar i kurset</t>
  </si>
  <si>
    <t>Kostnad for kontinuerlig opplæring av nye ansatte</t>
  </si>
  <si>
    <t>Digital opplæring av ansatte i SFO og kommunale fritidstilbud</t>
  </si>
  <si>
    <t>Antall ansatte som har blitt kurset</t>
  </si>
  <si>
    <t>10% av verdien fra linjen over</t>
  </si>
  <si>
    <t>Tilrettelegging for inkluderende praksis i kommunale fritids- og aktivitetstilbud</t>
  </si>
  <si>
    <t>Oppfølging av BTI-modellen i kommuner uten modellen i dag</t>
  </si>
  <si>
    <t>Antall foreldresøtteprogram som behøver oppdatering</t>
  </si>
  <si>
    <t>Gjennomsnittlig kostnad på oppdatering av hvert program</t>
  </si>
  <si>
    <t>Dette gjelder å oppdatere eksisterende programmer slik at de inkluderer barn og unge med konsentrasjonsvansker</t>
  </si>
  <si>
    <t>Antar et årsverk på 1700 timer for dette</t>
  </si>
  <si>
    <t>Oppfølging og koordinering av HDIR</t>
  </si>
  <si>
    <t>Kostnad for oppdatering av foreldrestøtteprogram</t>
  </si>
  <si>
    <t>Total kostnad</t>
  </si>
  <si>
    <t>Grunnlag for videre utregninger om behov</t>
  </si>
  <si>
    <t>Antall i aldersgruppen 0-17 år i Norge</t>
  </si>
  <si>
    <t>https://www.ssb.no/statbank/table/07459?sq=10063519</t>
  </si>
  <si>
    <t>Andel med uro og konsentrasjonsvansker</t>
  </si>
  <si>
    <t>https://www.fhi.no/contentassets/b5b3603ec4794c5cb0c8651589b359f8/temautgave-barn-og-unges-psykiske-helse_2025.pdf</t>
  </si>
  <si>
    <t xml:space="preserve">4,75% i aldersgruppen 0-30 år har diagnosen ADHD i Norge, øker til 6% for å inkludere udiagnostiserte tilfeller og grensetilfeller for barn og unge med uro og konsentrasjonsvansker som ikke møter kravene for diagnose </t>
  </si>
  <si>
    <t>Andel foreldre med behov for foreldrestøtteprogram</t>
  </si>
  <si>
    <t>Antagelse, antar også at foreldre med behov i snitt følger et foreldrestøtteprogram 1 gang fra barnet er 0-18 år</t>
  </si>
  <si>
    <t>Antall foreldre som følger et foreldrestøtteprogram per år</t>
  </si>
  <si>
    <t>Antall barn</t>
  </si>
  <si>
    <t>6% av antall barn</t>
  </si>
  <si>
    <t>Delt på 18 år</t>
  </si>
  <si>
    <t>Prosentandel av populasjon per år</t>
  </si>
  <si>
    <t>Prosentandel av populasjon som har foreldre med behov for oppfølging per år</t>
  </si>
  <si>
    <t>Se egen fane for dokumentasjon av utregninger</t>
  </si>
  <si>
    <t>Antall kommuner som stort nok behov til å opprette et eget tilbud</t>
  </si>
  <si>
    <t>Se egen fane for dokumentasjon av utregninger, antar at kommuner med færre en 10 foreldrepar med årlig behov for støtte er store nok til å opprette et eget tilbud</t>
  </si>
  <si>
    <t>Antall kommunegrupper som går sammen om å opprette et felles tilbud</t>
  </si>
  <si>
    <t>Antar at de mindre kommunene går sammen i kommunegrupper for å oprette et felles tilbud, antar at en gjennomsnittlig kommunegruppe inneholder 8 kommuner, se egen fane for dokumentasjon av utregninger</t>
  </si>
  <si>
    <t>Foreldrepar per kommunegruppe</t>
  </si>
  <si>
    <t>Gjennomsnittlig antall foreldrepar per kommunegruppe</t>
  </si>
  <si>
    <t>Antall fulltidsansatte fulltidsansatte per kommune(gruppe) som ikke har tilstrekkelig tilbud</t>
  </si>
  <si>
    <t>Antagelse, gjelder administrasjon, gjennomføring av gruppesamtaler og individuelle samtaler</t>
  </si>
  <si>
    <t>Andel kommuner med tilstrekkelig tilbud/kapasitet allerede</t>
  </si>
  <si>
    <r>
      <t>Antall nye anse</t>
    </r>
    <r>
      <rPr>
        <sz val="11"/>
        <color theme="1"/>
        <rFont val="Calibri"/>
        <family val="2"/>
        <scheme val="minor"/>
      </rPr>
      <t>ttelser som må gjøres for å sikre tilstrekkelig kapasitet/kompetanse</t>
    </r>
  </si>
  <si>
    <t xml:space="preserve">Årlig lønnskostnad </t>
  </si>
  <si>
    <t>Inkluderer til til opplæring, administrasjon, koordinering, gjennomføring og oppføring</t>
  </si>
  <si>
    <t>Gjennomføring av opplæring for fastlegene</t>
  </si>
  <si>
    <t>T6 - Styrke kompetanse og inkludering for barn med uro og konsentrasjonsvansker i kommunale fritids- og aktivitetstilbud, inkl. SFO</t>
  </si>
  <si>
    <t>T7 - Nasjonal implementering av SKILLS-modellen</t>
  </si>
  <si>
    <t>T7 - Implementering av SKILLS-modellen</t>
  </si>
  <si>
    <t>Vedlegg 6</t>
  </si>
  <si>
    <t>Kostnadsestimatene i denne rapporten er grove tidligfase-estimater basert på overordnede beskrivelser av tiltakene fra Helsedirektoratet. Estimatene er utarbeidet i konstante 2026-kroner, ekskl. mva., og neddiskontert til 2026. Vurderingene bygger i hovedsak på PwCs prosjektteams faglige skjønn og forståelse av Helsedirektoratets foreslåtte tiltak. Vurderingene er løpende avstemt og drøftet med Helsedirektoratets prosjektgruppe. Der det har vært mulig, er det innhentet erfaringsdata fra dokumenter, offentlige kilder og tilgjengelig statistikk.</t>
  </si>
  <si>
    <t>Ingen av estimatene er forankret med de aktørene som eventuelt skal gjennomføre tiltakene (for eksempel kommuner, helseforetak/BUP, fastleger, SFO) utover Helsedirektoratet selv. Det innebærer betydelig usikkerhet knyttet til blant annet volumforutsetninger (målgrupper, dekning, opptrapping), enhetskostnader (lønn inkl. sosiale kostnader/overhead, kurs- og lisenspriser), gjennomføringsevne og tempo (rekruttering, frikjøp av tid), samt lokale og regionale variasjoner.</t>
  </si>
  <si>
    <t>Estimatene bør tolkes som indikative størrelsesordener som vil endres når forutsetningene spesifiseres og forankres nærmere hos gjennomførende aktører. Handlinger og beslutninger som gjennomføres på bakgrunn av kostnadsestimatene fra PwC, foretas på eget ansvar.</t>
  </si>
  <si>
    <t>Usikkerhet i kostnadsestimatene fra PwC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</si>
</sst>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kr&quot;\ #,##0;[Red]&quot;kr&quot;\ \-#,##0"/>
    <numFmt numFmtId="165" formatCode="_ &quot;kr&quot;\ * #,##0.00_ ;_ &quot;kr&quot;\ * \-#,##0.00_ ;_ &quot;kr&quot;\ * &quot;-&quot;??_ ;_ @_ "/>
    <numFmt numFmtId="166" formatCode="_ * #,##0.00_ ;_ * \-#,##0.00_ ;_ * &quot;-&quot;??_ ;_ @_ "/>
    <numFmt numFmtId="167" formatCode="_ &quot;kr&quot;\ * #,##0_ ;_ &quot;kr&quot;\ * \-#,##0_ ;_ &quot;kr&quot;\ * &quot;-&quot;??_ ;_ @_ "/>
    <numFmt numFmtId="168" formatCode="_ * #,##0_ ;_ * \-#,##0_ ;_ * &quot;-&quot;??_ ;_ @_ "/>
    <numFmt numFmtId="169" formatCode="0.0\ %"/>
    <numFmt numFmtId="170" formatCode="0%"/>
    <numFmt numFmtId="171" formatCode="_-[$kr-414]\ * #,##0_-;\-[$kr-414]\ * #,##0_-;_-[$kr-414]\ * &quot;-&quot;??_-;_-@_-"/>
    <numFmt numFmtId="172" formatCode="_ &quot;kr&quot;\ * #,##0_ ;_ &quot;kr&quot;\ * \-#,##0_ ;_ &quot;kr&quot;\ * &quot;-&quot;?_ ;_ @_ "/>
    <numFmt numFmtId="173" formatCode="0."/>
    <numFmt numFmtId="174" formatCode="0.0"/>
  </numFmts>
  <fonts count="4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1"/>
      <color theme="1"/>
      <name val="Aptos"/>
      <family val="2"/>
    </font>
    <font>
      <sz val="11"/>
      <color theme="1"/>
      <name val="Symbol"/>
      <family val="1"/>
      <charset val="2"/>
    </font>
    <font>
      <sz val="7"/>
      <color theme="1"/>
      <name val="Times New Roman"/>
      <family val="1"/>
    </font>
    <font>
      <sz val="11"/>
      <color theme="1"/>
      <name val="Aptos"/>
    </font>
    <font>
      <sz val="10"/>
      <color theme="1"/>
      <name val="Symbol"/>
      <family val="1"/>
      <charset val="2"/>
    </font>
    <font>
      <b/>
      <sz val="14"/>
      <color theme="1"/>
      <name val="Calibri"/>
      <family val="2"/>
      <scheme val="minor"/>
    </font>
    <font>
      <sz val="10"/>
      <color theme="1"/>
      <name val="Courier New"/>
      <family val="3"/>
    </font>
    <font>
      <sz val="8"/>
      <color theme="1"/>
      <name val="Aptos"/>
      <family val="2"/>
    </font>
    <font>
      <u/>
      <sz val="11"/>
      <color theme="10"/>
      <name val="Calibri"/>
      <family val="2"/>
      <scheme val="minor"/>
    </font>
    <font>
      <sz val="8"/>
      <name val="Calibri"/>
      <family val="2"/>
      <scheme val="minor"/>
    </font>
    <font>
      <sz val="16"/>
      <color rgb="FF0F4761"/>
      <name val="Aptos Display"/>
    </font>
    <font>
      <sz val="11"/>
      <color rgb="FF000000"/>
      <name val="Aptos"/>
    </font>
    <font>
      <sz val="8"/>
      <color theme="1"/>
      <name val="Aptos"/>
    </font>
    <font>
      <sz val="10"/>
      <color theme="1"/>
      <name val="Aptos"/>
    </font>
    <font>
      <b/>
      <sz val="11"/>
      <color theme="0"/>
      <name val="Calibri"/>
      <family val="2"/>
      <scheme val="minor"/>
    </font>
    <font>
      <sz val="11"/>
      <name val="Calibri"/>
      <family val="2"/>
      <scheme val="minor"/>
    </font>
    <font>
      <sz val="11"/>
      <color rgb="FF000000"/>
      <name val="Aptos"/>
      <family val="2"/>
    </font>
    <font>
      <sz val="10"/>
      <color theme="1"/>
      <name val="Aptos"/>
      <family val="2"/>
    </font>
    <font>
      <u/>
      <sz val="11"/>
      <color rgb="FF008080"/>
      <name val="Aptos"/>
    </font>
    <font>
      <b/>
      <sz val="11"/>
      <color theme="1"/>
      <name val="Aptos"/>
      <family val="2"/>
    </font>
    <font>
      <sz val="12"/>
      <color theme="1"/>
      <name val="Calibri"/>
      <family val="2"/>
      <scheme val="minor"/>
    </font>
    <font>
      <sz val="10"/>
      <color theme="1"/>
      <name val="Calibri"/>
      <family val="2"/>
      <scheme val="minor"/>
    </font>
    <font>
      <sz val="10"/>
      <color rgb="FF000000"/>
      <name val="Arial"/>
      <family val="2"/>
    </font>
    <font>
      <sz val="10"/>
      <color rgb="FF000000"/>
      <name val="Arial"/>
      <family val="2"/>
    </font>
    <font>
      <b/>
      <sz val="10"/>
      <color rgb="FF000000"/>
      <name val="Arial"/>
      <family val="2"/>
    </font>
    <font>
      <sz val="11"/>
      <color theme="0"/>
      <name val="Calibri"/>
      <family val="2"/>
      <scheme val="minor"/>
    </font>
    <font>
      <sz val="10"/>
      <color rgb="FF000000"/>
      <name val="Tahoma"/>
      <family val="2"/>
    </font>
    <font>
      <sz val="11"/>
      <color rgb="FF000000"/>
      <name val="Calibri"/>
      <family val="2"/>
    </font>
    <font>
      <b/>
      <sz val="11"/>
      <color rgb="FF000000"/>
      <name val="Calibri"/>
      <family val="2"/>
    </font>
    <font>
      <b/>
      <sz val="14"/>
      <color rgb="FF000000"/>
      <name val="Calibri"/>
      <family val="2"/>
    </font>
    <font>
      <sz val="9"/>
      <color rgb="FF000000"/>
      <name val="Tahoma"/>
      <family val="2"/>
    </font>
    <font>
      <b/>
      <sz val="10"/>
      <color rgb="FF000000"/>
      <name val="Tahoma"/>
      <family val="2"/>
    </font>
    <font>
      <sz val="11"/>
      <color rgb="FF000000"/>
      <name val="Calibri"/>
      <family val="2"/>
      <scheme val="minor"/>
    </font>
    <font>
      <sz val="11"/>
      <color rgb="FF000000"/>
      <name val="Calibri"/>
    </font>
    <font>
      <sz val="24"/>
      <color theme="1"/>
      <name val="Aptos Display"/>
      <family val="2"/>
    </font>
    <font>
      <b/>
      <sz val="16"/>
      <color rgb="FF0F4761"/>
      <name val="Aptos Display"/>
      <family val="2"/>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165" fontId="1" fillId="0" borderId="0" applyFont="0" applyFill="0" applyBorder="0" applyAlignment="0" applyProtection="0"/>
    <xf numFmtId="166" fontId="1" fillId="0" borderId="0" applyFont="0" applyFill="0" applyBorder="0" applyAlignment="0" applyProtection="0"/>
    <xf numFmtId="0" fontId="14"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33" fillId="0" borderId="0" applyBorder="0"/>
    <xf numFmtId="9" fontId="33" fillId="0" borderId="0" applyFont="0" applyFill="0" applyBorder="0" applyAlignment="0" applyProtection="0"/>
  </cellStyleXfs>
  <cellXfs count="139">
    <xf numFmtId="0" fontId="0" fillId="0" borderId="0" xfId="0"/>
    <xf numFmtId="0" fontId="5" fillId="0" borderId="1" xfId="0" applyFont="1" applyBorder="1" applyAlignment="1">
      <alignment horizontal="center"/>
    </xf>
    <xf numFmtId="0" fontId="3" fillId="0" borderId="0" xfId="0" applyFont="1"/>
    <xf numFmtId="0" fontId="0" fillId="2" borderId="0" xfId="0" applyFill="1"/>
    <xf numFmtId="0" fontId="0" fillId="0" borderId="0" xfId="0" quotePrefix="1"/>
    <xf numFmtId="0" fontId="0" fillId="0" borderId="0" xfId="0" applyAlignment="1">
      <alignment wrapText="1"/>
    </xf>
    <xf numFmtId="14" fontId="0" fillId="0" borderId="0" xfId="0" quotePrefix="1" applyNumberFormat="1"/>
    <xf numFmtId="0" fontId="0" fillId="0" borderId="2" xfId="0" applyBorder="1"/>
    <xf numFmtId="0" fontId="0" fillId="0" borderId="2" xfId="0" applyBorder="1" applyAlignment="1">
      <alignment wrapText="1"/>
    </xf>
    <xf numFmtId="0" fontId="0" fillId="0" borderId="2" xfId="0" quotePrefix="1" applyBorder="1"/>
    <xf numFmtId="0" fontId="6" fillId="0" borderId="0" xfId="0" applyFont="1" applyAlignment="1">
      <alignment vertical="center"/>
    </xf>
    <xf numFmtId="0" fontId="7" fillId="0" borderId="0" xfId="0" applyFont="1" applyAlignment="1">
      <alignment horizontal="left" vertical="center" indent="2"/>
    </xf>
    <xf numFmtId="0" fontId="0" fillId="0" borderId="0" xfId="0" applyAlignment="1">
      <alignment horizontal="left"/>
    </xf>
    <xf numFmtId="167" fontId="0" fillId="0" borderId="0" xfId="1" applyNumberFormat="1" applyFont="1"/>
    <xf numFmtId="167" fontId="0" fillId="0" borderId="0" xfId="0" applyNumberFormat="1"/>
    <xf numFmtId="0" fontId="2" fillId="0" borderId="0" xfId="0" applyFont="1"/>
    <xf numFmtId="0" fontId="3" fillId="0" borderId="2" xfId="0" applyFont="1" applyBorder="1" applyAlignment="1">
      <alignment horizontal="center"/>
    </xf>
    <xf numFmtId="0" fontId="3" fillId="0" borderId="2" xfId="0" applyFont="1" applyBorder="1"/>
    <xf numFmtId="164" fontId="0" fillId="0" borderId="0" xfId="0" applyNumberFormat="1"/>
    <xf numFmtId="168" fontId="0" fillId="0" borderId="0" xfId="2" applyNumberFormat="1" applyFont="1"/>
    <xf numFmtId="9" fontId="0" fillId="0" borderId="0" xfId="0" applyNumberFormat="1"/>
    <xf numFmtId="0" fontId="9" fillId="0" borderId="0" xfId="0" applyFont="1" applyAlignment="1">
      <alignment vertical="center"/>
    </xf>
    <xf numFmtId="0" fontId="10" fillId="0" borderId="0" xfId="0" applyFont="1" applyAlignment="1">
      <alignment horizontal="left" vertical="center" indent="5"/>
    </xf>
    <xf numFmtId="0" fontId="3" fillId="0" borderId="4" xfId="0" applyFont="1" applyBorder="1"/>
    <xf numFmtId="168" fontId="0" fillId="0" borderId="3" xfId="2" applyNumberFormat="1" applyFont="1" applyBorder="1"/>
    <xf numFmtId="14" fontId="0" fillId="0" borderId="2" xfId="0" quotePrefix="1" applyNumberFormat="1" applyBorder="1"/>
    <xf numFmtId="167" fontId="0" fillId="0" borderId="2" xfId="1" applyNumberFormat="1" applyFont="1" applyBorder="1"/>
    <xf numFmtId="168" fontId="0" fillId="0" borderId="2" xfId="2" applyNumberFormat="1" applyFont="1" applyBorder="1"/>
    <xf numFmtId="168" fontId="0" fillId="0" borderId="4" xfId="2" applyNumberFormat="1" applyFont="1" applyBorder="1"/>
    <xf numFmtId="167" fontId="3" fillId="0" borderId="0" xfId="0" applyNumberFormat="1" applyFont="1"/>
    <xf numFmtId="0" fontId="4" fillId="0" borderId="0" xfId="0" applyFont="1"/>
    <xf numFmtId="0" fontId="11" fillId="0" borderId="0" xfId="0" applyFont="1"/>
    <xf numFmtId="169" fontId="0" fillId="0" borderId="0" xfId="0" applyNumberFormat="1"/>
    <xf numFmtId="0" fontId="3" fillId="0" borderId="0" xfId="0" applyFont="1" applyAlignment="1">
      <alignment horizontal="center"/>
    </xf>
    <xf numFmtId="0" fontId="3" fillId="0" borderId="3" xfId="0" applyFont="1" applyBorder="1"/>
    <xf numFmtId="0" fontId="0" fillId="0" borderId="5" xfId="0" quotePrefix="1" applyBorder="1"/>
    <xf numFmtId="167" fontId="0" fillId="0" borderId="5" xfId="1" applyNumberFormat="1" applyFont="1" applyBorder="1"/>
    <xf numFmtId="168" fontId="0" fillId="0" borderId="5" xfId="2" applyNumberFormat="1" applyFont="1" applyBorder="1"/>
    <xf numFmtId="168" fontId="0" fillId="0" borderId="6" xfId="2" applyNumberFormat="1" applyFont="1" applyBorder="1"/>
    <xf numFmtId="167" fontId="0" fillId="0" borderId="0" xfId="1" applyNumberFormat="1" applyFont="1" applyBorder="1"/>
    <xf numFmtId="168" fontId="0" fillId="0" borderId="0" xfId="2" applyNumberFormat="1" applyFont="1" applyBorder="1"/>
    <xf numFmtId="0" fontId="12" fillId="0" borderId="0" xfId="0" applyFont="1" applyAlignment="1">
      <alignment horizontal="left" vertical="center" indent="10"/>
    </xf>
    <xf numFmtId="0" fontId="13" fillId="0" borderId="0" xfId="0" applyFont="1" applyAlignment="1">
      <alignment vertical="center"/>
    </xf>
    <xf numFmtId="164" fontId="0" fillId="0" borderId="2" xfId="0" applyNumberFormat="1" applyBorder="1"/>
    <xf numFmtId="0" fontId="6" fillId="0" borderId="0" xfId="0" applyFont="1" applyAlignment="1">
      <alignment horizontal="left" vertical="center" indent="5"/>
    </xf>
    <xf numFmtId="0" fontId="14" fillId="0" borderId="0" xfId="3" applyAlignment="1">
      <alignment vertical="center"/>
    </xf>
    <xf numFmtId="0" fontId="1" fillId="0" borderId="0" xfId="0" applyFont="1"/>
    <xf numFmtId="1" fontId="1" fillId="0" borderId="0" xfId="1" applyNumberFormat="1"/>
    <xf numFmtId="0" fontId="16" fillId="0" borderId="0" xfId="0" applyFont="1" applyAlignment="1">
      <alignment vertical="center"/>
    </xf>
    <xf numFmtId="0" fontId="9" fillId="0" borderId="0" xfId="0" applyFont="1"/>
    <xf numFmtId="0" fontId="18" fillId="0" borderId="0" xfId="0" applyFont="1" applyAlignment="1">
      <alignment vertical="center"/>
    </xf>
    <xf numFmtId="0" fontId="19" fillId="0" borderId="0" xfId="0" applyFont="1" applyAlignment="1">
      <alignment vertical="center"/>
    </xf>
    <xf numFmtId="169" fontId="0" fillId="0" borderId="0" xfId="5" applyNumberFormat="1" applyFont="1"/>
    <xf numFmtId="0" fontId="0" fillId="0" borderId="8" xfId="0" applyBorder="1"/>
    <xf numFmtId="0" fontId="0" fillId="0" borderId="8" xfId="0" quotePrefix="1" applyBorder="1"/>
    <xf numFmtId="167" fontId="0" fillId="0" borderId="8" xfId="1" applyNumberFormat="1" applyFont="1" applyBorder="1"/>
    <xf numFmtId="168" fontId="0" fillId="0" borderId="8" xfId="2" applyNumberFormat="1" applyFont="1" applyBorder="1"/>
    <xf numFmtId="168" fontId="0" fillId="0" borderId="7" xfId="2" applyNumberFormat="1" applyFont="1" applyBorder="1"/>
    <xf numFmtId="0" fontId="0" fillId="0" borderId="5" xfId="0" applyBorder="1"/>
    <xf numFmtId="1" fontId="0" fillId="0" borderId="0" xfId="0" applyNumberFormat="1"/>
    <xf numFmtId="0" fontId="20" fillId="4" borderId="10" xfId="0" applyFont="1" applyFill="1" applyBorder="1"/>
    <xf numFmtId="0" fontId="20" fillId="4" borderId="11" xfId="0" applyFont="1" applyFill="1" applyBorder="1"/>
    <xf numFmtId="0" fontId="3" fillId="3" borderId="9" xfId="0" applyFont="1" applyFill="1" applyBorder="1"/>
    <xf numFmtId="0" fontId="3" fillId="3" borderId="12" xfId="0" applyFont="1" applyFill="1" applyBorder="1"/>
    <xf numFmtId="0" fontId="21" fillId="3" borderId="13" xfId="0" applyFont="1" applyFill="1" applyBorder="1" applyAlignment="1">
      <alignment horizontal="left"/>
    </xf>
    <xf numFmtId="171" fontId="0" fillId="3" borderId="14" xfId="4" applyNumberFormat="1" applyFont="1" applyFill="1" applyBorder="1" applyAlignment="1">
      <alignment horizontal="center" vertical="center"/>
    </xf>
    <xf numFmtId="0" fontId="0" fillId="3" borderId="13" xfId="0" applyFill="1" applyBorder="1" applyAlignment="1">
      <alignment horizontal="left"/>
    </xf>
    <xf numFmtId="0" fontId="0" fillId="3" borderId="15" xfId="0" applyFill="1" applyBorder="1" applyAlignment="1">
      <alignment horizontal="left"/>
    </xf>
    <xf numFmtId="171" fontId="0" fillId="3" borderId="16" xfId="4" applyNumberFormat="1" applyFont="1" applyFill="1" applyBorder="1" applyAlignment="1">
      <alignment horizontal="center" vertical="center"/>
    </xf>
    <xf numFmtId="172" fontId="0" fillId="0" borderId="0" xfId="0" applyNumberFormat="1"/>
    <xf numFmtId="0" fontId="0" fillId="0" borderId="8" xfId="0" applyBorder="1" applyAlignment="1">
      <alignment wrapText="1"/>
    </xf>
    <xf numFmtId="14" fontId="0" fillId="0" borderId="8" xfId="0" quotePrefix="1" applyNumberFormat="1" applyBorder="1"/>
    <xf numFmtId="173" fontId="0" fillId="0" borderId="0" xfId="0" applyNumberFormat="1"/>
    <xf numFmtId="0" fontId="0" fillId="3" borderId="13" xfId="0" applyFill="1" applyBorder="1"/>
    <xf numFmtId="0" fontId="0" fillId="0" borderId="0" xfId="0" applyAlignment="1">
      <alignment vertical="center"/>
    </xf>
    <xf numFmtId="0" fontId="23" fillId="0" borderId="0" xfId="0" applyFont="1" applyAlignment="1">
      <alignment vertical="center"/>
    </xf>
    <xf numFmtId="0" fontId="3" fillId="0" borderId="0" xfId="0" applyFont="1" applyAlignment="1">
      <alignment horizontal="left" vertical="top"/>
    </xf>
    <xf numFmtId="0" fontId="25" fillId="0" borderId="0" xfId="0" applyFont="1" applyAlignment="1">
      <alignment vertical="center"/>
    </xf>
    <xf numFmtId="0" fontId="0" fillId="0" borderId="0" xfId="1" applyNumberFormat="1" applyFont="1"/>
    <xf numFmtId="0" fontId="26" fillId="0" borderId="0" xfId="0" applyFont="1"/>
    <xf numFmtId="0" fontId="4" fillId="0" borderId="0" xfId="0" applyFont="1" applyAlignment="1">
      <alignment horizontal="left" vertical="top"/>
    </xf>
    <xf numFmtId="0" fontId="27" fillId="0" borderId="0" xfId="0" applyFont="1"/>
    <xf numFmtId="0" fontId="28" fillId="0" borderId="0" xfId="0" applyFont="1" applyAlignment="1">
      <alignment vertical="center" wrapText="1"/>
    </xf>
    <xf numFmtId="0" fontId="29" fillId="0" borderId="0" xfId="0" applyFont="1" applyAlignment="1">
      <alignment vertical="center" wrapText="1"/>
    </xf>
    <xf numFmtId="0" fontId="27" fillId="0" borderId="0" xfId="0" applyFont="1" applyAlignment="1">
      <alignment vertical="center" wrapText="1"/>
    </xf>
    <xf numFmtId="0" fontId="30" fillId="0" borderId="0" xfId="0" applyFont="1" applyAlignment="1">
      <alignment vertical="center" wrapText="1"/>
    </xf>
    <xf numFmtId="0" fontId="27" fillId="0" borderId="0" xfId="0" applyFont="1" applyAlignment="1">
      <alignment horizontal="left" vertical="center" wrapText="1" indent="1"/>
    </xf>
    <xf numFmtId="0" fontId="29" fillId="0" borderId="0" xfId="0" applyFont="1" applyAlignment="1">
      <alignment horizontal="left" vertical="center" wrapText="1" indent="1"/>
    </xf>
    <xf numFmtId="0" fontId="14" fillId="0" borderId="0" xfId="3"/>
    <xf numFmtId="0" fontId="31" fillId="5" borderId="0" xfId="0" applyFont="1" applyFill="1"/>
    <xf numFmtId="0" fontId="0" fillId="6" borderId="0" xfId="0" applyFill="1"/>
    <xf numFmtId="0" fontId="33" fillId="0" borderId="0" xfId="6"/>
    <xf numFmtId="0" fontId="33" fillId="0" borderId="0" xfId="6" applyAlignment="1">
      <alignment wrapText="1"/>
    </xf>
    <xf numFmtId="174" fontId="33" fillId="0" borderId="0" xfId="6" applyNumberFormat="1"/>
    <xf numFmtId="1" fontId="33" fillId="0" borderId="0" xfId="6" applyNumberFormat="1"/>
    <xf numFmtId="0" fontId="34" fillId="0" borderId="0" xfId="6" applyFont="1"/>
    <xf numFmtId="0" fontId="35" fillId="0" borderId="0" xfId="6" applyFont="1"/>
    <xf numFmtId="10" fontId="0" fillId="0" borderId="0" xfId="7" applyNumberFormat="1" applyFont="1"/>
    <xf numFmtId="164" fontId="0" fillId="0" borderId="8" xfId="0" applyNumberFormat="1" applyBorder="1"/>
    <xf numFmtId="168" fontId="0" fillId="0" borderId="8" xfId="0" applyNumberFormat="1" applyBorder="1"/>
    <xf numFmtId="0" fontId="0" fillId="0" borderId="7" xfId="0" applyBorder="1"/>
    <xf numFmtId="168" fontId="0" fillId="0" borderId="7" xfId="0" applyNumberFormat="1" applyBorder="1"/>
    <xf numFmtId="170" fontId="1" fillId="5" borderId="0" xfId="0" applyNumberFormat="1" applyFont="1" applyFill="1"/>
    <xf numFmtId="10" fontId="33" fillId="0" borderId="0" xfId="5" applyNumberFormat="1" applyFont="1"/>
    <xf numFmtId="9" fontId="0" fillId="0" borderId="0" xfId="5" applyFont="1"/>
    <xf numFmtId="10" fontId="33" fillId="0" borderId="0" xfId="6" applyNumberFormat="1"/>
    <xf numFmtId="0" fontId="39" fillId="0" borderId="0" xfId="6" applyFont="1"/>
    <xf numFmtId="0" fontId="1" fillId="5" borderId="0" xfId="0" applyFont="1" applyFill="1"/>
    <xf numFmtId="0" fontId="7" fillId="0" borderId="0" xfId="0" applyFont="1" applyBorder="1" applyAlignment="1">
      <alignment horizontal="left" vertical="center" indent="2"/>
    </xf>
    <xf numFmtId="0" fontId="0" fillId="0" borderId="0" xfId="0" applyBorder="1"/>
    <xf numFmtId="0" fontId="0" fillId="0" borderId="0" xfId="0" applyBorder="1" applyAlignment="1">
      <alignment wrapText="1"/>
    </xf>
    <xf numFmtId="164" fontId="0" fillId="0" borderId="0" xfId="0" applyNumberFormat="1" applyBorder="1"/>
    <xf numFmtId="0" fontId="0" fillId="0" borderId="0" xfId="0" applyFill="1" applyBorder="1"/>
    <xf numFmtId="0" fontId="10" fillId="0" borderId="0" xfId="0" applyFont="1" applyFill="1" applyBorder="1" applyAlignment="1">
      <alignment horizontal="left" vertical="center" indent="5"/>
    </xf>
    <xf numFmtId="0" fontId="9" fillId="0" borderId="0" xfId="0" applyFont="1" applyFill="1" applyBorder="1" applyAlignment="1">
      <alignment vertical="center"/>
    </xf>
    <xf numFmtId="0" fontId="17" fillId="0" borderId="0" xfId="0" applyFont="1" applyFill="1" applyBorder="1" applyAlignment="1">
      <alignment vertical="center" wrapText="1"/>
    </xf>
    <xf numFmtId="0" fontId="9" fillId="0" borderId="0" xfId="0" applyFont="1" applyFill="1" applyBorder="1" applyAlignment="1">
      <alignment vertical="center" wrapText="1"/>
    </xf>
    <xf numFmtId="0" fontId="0" fillId="0" borderId="0" xfId="0" applyFill="1"/>
    <xf numFmtId="0" fontId="6" fillId="0" borderId="0" xfId="0" applyFont="1" applyFill="1" applyAlignment="1">
      <alignment vertical="center"/>
    </xf>
    <xf numFmtId="0" fontId="10" fillId="0" borderId="0" xfId="0" applyFont="1" applyFill="1" applyAlignment="1">
      <alignment horizontal="left" vertical="center" indent="5"/>
    </xf>
    <xf numFmtId="0" fontId="6" fillId="0" borderId="0" xfId="0" applyFont="1" applyFill="1" applyAlignment="1">
      <alignment horizontal="left" vertical="center" indent="5"/>
    </xf>
    <xf numFmtId="0" fontId="12" fillId="0" borderId="0" xfId="0" applyFont="1" applyFill="1" applyAlignment="1">
      <alignment horizontal="left" vertical="center" indent="10"/>
    </xf>
    <xf numFmtId="0" fontId="13" fillId="0" borderId="0" xfId="0" applyFont="1" applyFill="1" applyAlignment="1">
      <alignment vertical="center"/>
    </xf>
    <xf numFmtId="0" fontId="6" fillId="0" borderId="0" xfId="0" applyFont="1" applyFill="1" applyBorder="1" applyAlignment="1">
      <alignment vertical="center"/>
    </xf>
    <xf numFmtId="0" fontId="12" fillId="0" borderId="0" xfId="0" applyFont="1" applyFill="1" applyBorder="1" applyAlignment="1">
      <alignment horizontal="left" vertical="center" indent="10"/>
    </xf>
    <xf numFmtId="0" fontId="22" fillId="0" borderId="0" xfId="0" applyFont="1" applyFill="1" applyBorder="1" applyAlignment="1">
      <alignment vertical="center" wrapText="1"/>
    </xf>
    <xf numFmtId="0" fontId="6" fillId="0" borderId="0" xfId="0" applyFont="1" applyFill="1" applyBorder="1" applyAlignment="1">
      <alignment vertical="center" wrapText="1"/>
    </xf>
    <xf numFmtId="0" fontId="13" fillId="0" borderId="0" xfId="0" applyFont="1" applyFill="1" applyBorder="1" applyAlignment="1">
      <alignment vertical="center"/>
    </xf>
    <xf numFmtId="167" fontId="0" fillId="0" borderId="0" xfId="0" applyNumberFormat="1" applyFill="1" applyBorder="1"/>
    <xf numFmtId="0" fontId="16"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left" vertical="center" indent="1"/>
    </xf>
    <xf numFmtId="0" fontId="18" fillId="0" borderId="0" xfId="0" applyFont="1" applyFill="1" applyBorder="1" applyAlignment="1">
      <alignment vertical="center"/>
    </xf>
    <xf numFmtId="0" fontId="9" fillId="0" borderId="0" xfId="0" applyFont="1" applyFill="1" applyBorder="1"/>
    <xf numFmtId="0" fontId="6" fillId="0" borderId="0" xfId="0" applyFont="1" applyAlignment="1">
      <alignment vertical="center" wrapText="1"/>
    </xf>
    <xf numFmtId="0" fontId="6" fillId="0" borderId="0" xfId="0" applyFont="1" applyAlignment="1">
      <alignment vertical="top" wrapText="1"/>
    </xf>
    <xf numFmtId="0" fontId="40" fillId="0" borderId="0" xfId="0" applyFont="1"/>
    <xf numFmtId="0" fontId="41" fillId="0" borderId="0" xfId="0" applyFont="1" applyAlignment="1">
      <alignment vertical="center"/>
    </xf>
    <xf numFmtId="0" fontId="4" fillId="0" borderId="0" xfId="0" applyFont="1" applyAlignment="1">
      <alignment horizontal="center"/>
    </xf>
  </cellXfs>
  <cellStyles count="8">
    <cellStyle name="Comma 2" xfId="2" xr:uid="{D383272D-A197-4CED-8B3C-5337476E93C6}"/>
    <cellStyle name="Hyperkobling" xfId="3" builtinId="8"/>
    <cellStyle name="Komma" xfId="4" builtinId="3"/>
    <cellStyle name="Normal" xfId="0" builtinId="0"/>
    <cellStyle name="Normal 2" xfId="6" xr:uid="{FD399DA7-D60F-9141-8687-5C646C150033}"/>
    <cellStyle name="Per cent 2" xfId="7" xr:uid="{947F05AE-C54F-6048-836D-B1C0AF38FB0D}"/>
    <cellStyle name="Prosent" xfId="5" builtinId="5"/>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ørgen Blom" id="{C080DA46-3AA1-4825-A710-C78A261BF0E9}" userId="Jorgen.Blom@helsedir.no" providerId="PeoplePicker"/>
  <person displayName="Jin Marte Øvreeide" id="{EDA313EA-C1B8-40DF-A204-E4258DAB2AB0}" userId="Jin.Marte.Ovreeide@helsedir.no" providerId="PeoplePicker"/>
  <person displayName="Jørgen Blom" id="{DFC3EEA3-E82C-4F90-A5E7-B81BE53D05BF}" userId="S::jorgen.blom@helsedir.no::073f7151-1cfb-420d-8eab-2ec37555d995" providerId="AD"/>
  <person displayName="Jin Marte Øvreeide" id="{DDFD178E-3C1A-4E6A-9F96-6501658F9F45}" userId="S::Jin.Marte.Ovreeide@helsedir.no::b5f21e56-d959-4f8e-9772-568122817692" providerId="AD"/>
  <person displayName="Jin Marte Øvreeide" id="{4590E452-A630-4EA8-9026-300443A374C9}" userId="S::jin.marte.ovreeide@helsedir.no::b5f21e56-d959-4f8e-9772-568122817692" providerId="AD"/>
  <person displayName="Johannes Bretteville-Jensen (NO)" id="{010FEA08-ACB2-4265-B16B-CD609EBD833A}" userId="S::johannes.bretteville-jensen@pwc.com::97388a9e-c7de-4908-aef8-094e6fcf94cc" providerId="AD"/>
</personList>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6-03-06T11:21:09.33" personId="{DDFD178E-3C1A-4E6A-9F96-6501658F9F45}" id="{2B96AA55-8AAE-4DC7-BAA7-374DED8F8DD8}">
    <text>Her kan dere se til SKILS, lenke sak hos Vestre Viken HF https://www.vestreviken.no/behandlinger/adhd-skills/</text>
    <extLst>
      <x:ext xmlns:xltc2="http://schemas.microsoft.com/office/spreadsheetml/2020/threadedcomments2" uri="{F7C98A9C-CBB3-438F-8F68-D28B6AF4A901}">
        <xltc2:checksum>1777916180</xltc2:checksum>
        <xltc2:hyperlink startIndex="57" length="52" url="https://www.vestreviken.no/behandlinger/adhd-skills/"/>
      </x:ext>
    </extLst>
  </threadedComment>
  <threadedComment ref="D4" dT="2026-03-06T11:27:29.15" personId="{DDFD178E-3C1A-4E6A-9F96-6501658F9F45}" id="{06C83E83-668F-46B8-BFA5-8EEC8593CA09}" parentId="{2B96AA55-8AAE-4DC7-BAA7-374DED8F8DD8}">
    <text>Tror kanskje det bare finnes i gruppeversjon, så mulig det kan komme kostnader for en individuell versjon</text>
  </threadedComment>
  <threadedComment ref="B18" dT="2026-03-04T13:30:00.72" personId="{4590E452-A630-4EA8-9026-300443A374C9}" id="{CC59EDE0-8923-4C81-8460-0A5C971F51E9}">
    <text xml:space="preserve">Her kan det vises til SKILLS som er et gruppetilbud i Vestre Viken, men også tilgjengelig andre steder. @Jørgen Blom  kan kanskje hjelpe til med å vurdere om dette kan beskrives som et implementeringstiltak? </text>
    <mentions>
      <mention mentionpersonId="{C080DA46-3AA1-4825-A710-C78A261BF0E9}" mentionId="{F10F0943-D7AB-4100-B42D-154E4D293728}" startIndex="104" length="12"/>
    </mentions>
  </threadedComment>
  <threadedComment ref="B18" dT="2026-03-04T16:03:25.52" personId="{DFC3EEA3-E82C-4F90-A5E7-B81BE53D05BF}" id="{7B812F5E-F645-496B-9DED-73FA91D8FF45}" parentId="{CC59EDE0-8923-4C81-8460-0A5C971F51E9}">
    <text>@Jin Marte Øvreeide Ja, det kan det. Dette er ferdig!</text>
    <mentions>
      <mention mentionpersonId="{EDA313EA-C1B8-40DF-A204-E4258DAB2AB0}" mentionId="{0E954C01-DA45-4374-9DEB-F1F7D177CC84}" startIndex="0" length="19"/>
    </mentions>
  </threadedComment>
  <threadedComment ref="B18" dT="2026-03-06T09:29:53.48" personId="{010FEA08-ACB2-4265-B16B-CD609EBD833A}" id="{657A1A68-C92C-40B8-877F-897066359B97}" parentId="{CC59EDE0-8923-4C81-8460-0A5C971F51E9}">
    <text>Ønsker dere at vi endrer beskrivelsen av tiltaket til at det handler om å implementere SKILLS nasjonalt?</text>
  </threadedComment>
  <threadedComment ref="B18" dT="2026-03-06T11:29:10.98" personId="{DDFD178E-3C1A-4E6A-9F96-6501658F9F45}" id="{541399AE-3BFC-4E4F-A506-4F7A4595B96F}" parentId="{CC59EDE0-8923-4C81-8460-0A5C971F51E9}">
    <text>Beklager, så ikke at jeg hadde en merknad her også. Ja, siden det ser ut til å være ”fritt” tilgjengelig og kvalitetssikret, tenker jeg vi bør vurdere implementering av dette, men kan du ev lage et kostnadsestimat og med implementering av SKILLS som et eget estimat?</text>
  </threadedComment>
  <threadedComment ref="B18" dT="2026-03-09T13:47:03.24" personId="{010FEA08-ACB2-4265-B16B-CD609EBD833A}" id="{E4C46AB8-331F-4994-A79F-923DF8CE5232}" parentId="{CC59EDE0-8923-4C81-8460-0A5C971F51E9}">
    <text>Skal prøve å få sett på dette før møtet i morgen.</text>
  </threadedComment>
</ThreadedComments>
</file>

<file path=xl/threadedComments/threadedComment2.xml><?xml version="1.0" encoding="utf-8"?>
<ThreadedComments xmlns="http://schemas.microsoft.com/office/spreadsheetml/2018/threadedcomments" xmlns:x="http://schemas.openxmlformats.org/spreadsheetml/2006/main">
  <threadedComment ref="B13" dT="2026-03-04T13:30:00.72" personId="{4590E452-A630-4EA8-9026-300443A374C9}" id="{EE89DCB4-BFA2-480E-A2B5-CF1789420C25}">
    <text xml:space="preserve">Her kan det vises til SKILLS som er et gruppetilbud i Vestre Viken, men også tilgjengelig andre steder. @Jørgen Blom  kan kanskje hjelpe til med å vurdere om dette kan beskrives som et implementeringstiltak? </text>
    <mentions>
      <mention mentionpersonId="{C080DA46-3AA1-4825-A710-C78A261BF0E9}" mentionId="{4AD177D7-A52D-4381-BD5D-21E7B0D7A83B}" startIndex="104" length="12"/>
    </mentions>
  </threadedComment>
  <threadedComment ref="B13" dT="2026-03-04T16:03:25.52" personId="{DFC3EEA3-E82C-4F90-A5E7-B81BE53D05BF}" id="{CB85912A-3F8A-4A9D-9386-AD316F00DB75}" parentId="{EE89DCB4-BFA2-480E-A2B5-CF1789420C25}">
    <text>@Jin Marte Øvreeide Ja, det kan det. Dette er ferdig!</text>
    <mentions>
      <mention mentionpersonId="{EDA313EA-C1B8-40DF-A204-E4258DAB2AB0}" mentionId="{3DC9F1D1-73D0-4E8B-AE21-2D37C004501E}" startIndex="0" length="19"/>
    </mentions>
  </threadedComment>
  <threadedComment ref="B13" dT="2026-03-06T09:29:53.48" personId="{010FEA08-ACB2-4265-B16B-CD609EBD833A}" id="{3E1DA389-9F07-4D21-8F3B-86254D5CECC6}" parentId="{EE89DCB4-BFA2-480E-A2B5-CF1789420C25}">
    <text>Ønsker dere at vi endrer beskrivelsen av tiltaket til at det handler om å implementere SKILLS nasjonalt?</text>
  </threadedComment>
  <threadedComment ref="B13" dT="2026-03-06T11:29:10.98" personId="{DDFD178E-3C1A-4E6A-9F96-6501658F9F45}" id="{3AE70D1D-3903-4F94-9656-5555FC544909}" parentId="{EE89DCB4-BFA2-480E-A2B5-CF1789420C25}">
    <text>Beklager, så ikke at jeg hadde en merknad her også. Ja, siden det ser ut til å være ”fritt” tilgjengelig og kvalitetssikret, tenker jeg vi bør vurdere implementering av dette, men kan du ev lage et kostnadsestimat og med implementering av SKILLS som et eget estimat?</text>
  </threadedComment>
  <threadedComment ref="B13" dT="2026-03-09T13:47:03.24" personId="{010FEA08-ACB2-4265-B16B-CD609EBD833A}" id="{248BFF6B-695D-4F0C-809E-D5CAD18AAAA4}" parentId="{EE89DCB4-BFA2-480E-A2B5-CF1789420C25}">
    <text>Skal prøve å få sett på dette før møtet i morgen.</text>
  </threadedComment>
</ThreadedComment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sb.no/statbank/table/11418?sq=10099677" TargetMode="External"/><Relationship Id="rId13" Type="http://schemas.openxmlformats.org/officeDocument/2006/relationships/hyperlink" Target="https://www.ssb.no/statbank/table/07459?sq=10063519" TargetMode="External"/><Relationship Id="rId3" Type="http://schemas.openxmlformats.org/officeDocument/2006/relationships/hyperlink" Target="https://www.ssb.no/inntekt-og-forbruk/inntekt-og-formue/artikler/fastlegers-inntekter-og-kostnader-2020" TargetMode="External"/><Relationship Id="rId7" Type="http://schemas.openxmlformats.org/officeDocument/2006/relationships/hyperlink" Target="https://www.ssb.no/statbank/table/11418?sq=10066123" TargetMode="External"/><Relationship Id="rId12" Type="http://schemas.openxmlformats.org/officeDocument/2006/relationships/hyperlink" Target="https://www.ssb.no/statbank/table/11418" TargetMode="External"/><Relationship Id="rId2" Type="http://schemas.openxmlformats.org/officeDocument/2006/relationships/hyperlink" Target="https://www.ks.no/fagomrader/statistikk-og-analyse/lonnsstatistikk-for-ks-tariffomrade/lonnsstatistikk-om-kommunal-forvaltning/" TargetMode="External"/><Relationship Id="rId1" Type="http://schemas.openxmlformats.org/officeDocument/2006/relationships/hyperlink" Target="https://www.ks.no/fagomrader/statistikk-og-analyse/lonnsstatistikk-for-ks-tariffomrade/lonnsstatistikk-om-kommunal-forvaltning/" TargetMode="External"/><Relationship Id="rId6" Type="http://schemas.openxmlformats.org/officeDocument/2006/relationships/hyperlink" Target="https://www.ssb.no/statbank/table/11418?sq=10066123" TargetMode="External"/><Relationship Id="rId11" Type="http://schemas.openxmlformats.org/officeDocument/2006/relationships/hyperlink" Target="https://www.ks.no/fagomrader/statistikk-og-analyse/lonnsstatistikk-for-ks-tariffomrade/lonnsvekst-i-ks-tariffomrade-fra-2024-til-2025/" TargetMode="External"/><Relationship Id="rId5" Type="http://schemas.openxmlformats.org/officeDocument/2006/relationships/hyperlink" Target="https://www.ssb.no/statbank/table/11418?sq=10066123" TargetMode="External"/><Relationship Id="rId15" Type="http://schemas.openxmlformats.org/officeDocument/2006/relationships/printerSettings" Target="../printerSettings/printerSettings1.bin"/><Relationship Id="rId10" Type="http://schemas.openxmlformats.org/officeDocument/2006/relationships/hyperlink" Target="https://www.ssb.no/statbank/table/11418?sq=10025935" TargetMode="External"/><Relationship Id="rId4" Type="http://schemas.openxmlformats.org/officeDocument/2006/relationships/hyperlink" Target="https://www.ssb.no/statbank/table/11418?sq=10066123" TargetMode="External"/><Relationship Id="rId9" Type="http://schemas.openxmlformats.org/officeDocument/2006/relationships/hyperlink" Target="https://www.helsedirektoratet.no/rapporter/helsedirektoratets-arsrapport-2024/pdf-av-rapporten/Helsedirektoratet%20%C3%A5rsrapport%202024%201.0.pdf/_/attachment/inline/89d43ab3-c405-4e3f-aa1f-b4efc30d313d:57ef28b7571a31e028c5ccb1e03d075f8675ae09/Helsedirektoratet%20%C3%A5rsrapport%202024%201.0.pdf" TargetMode="External"/><Relationship Id="rId14" Type="http://schemas.openxmlformats.org/officeDocument/2006/relationships/hyperlink" Target="https://www.fhi.no/contentassets/b5b3603ec4794c5cb0c8651589b359f8/temautgave-barn-og-unges-psykiske-helse_2025.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06C4-8322-40E8-9CB1-DAB191126EAA}">
  <dimension ref="B7:AS13"/>
  <sheetViews>
    <sheetView topLeftCell="A10" workbookViewId="0">
      <selection activeCell="B17" sqref="B17"/>
    </sheetView>
  </sheetViews>
  <sheetFormatPr baseColWidth="10" defaultRowHeight="15" x14ac:dyDescent="0.25"/>
  <cols>
    <col min="2" max="2" width="84" customWidth="1"/>
  </cols>
  <sheetData>
    <row r="7" spans="2:45" ht="31.5" x14ac:dyDescent="0.5">
      <c r="B7" s="136" t="s">
        <v>1037</v>
      </c>
    </row>
    <row r="9" spans="2:45" ht="21" x14ac:dyDescent="0.25">
      <c r="B9" s="137" t="s">
        <v>1041</v>
      </c>
    </row>
    <row r="10" spans="2:45" ht="105" x14ac:dyDescent="0.25">
      <c r="B10" s="135" t="s">
        <v>1038</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row>
    <row r="11" spans="2:45" ht="90" x14ac:dyDescent="0.25">
      <c r="B11" s="134" t="s">
        <v>1039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row>
    <row r="12" spans="2:45" ht="60" x14ac:dyDescent="0.25">
      <c r="B12" s="135" t="s">
        <v>1040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row>
    <row r="13" spans="2:45" x14ac:dyDescent="0.2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9E4C7-C68D-4189-B1EE-2C52F5762764}">
  <dimension ref="A1:V53"/>
  <sheetViews>
    <sheetView showGridLines="0" zoomScaleNormal="100" workbookViewId="0">
      <selection activeCell="A2" sqref="A2"/>
    </sheetView>
  </sheetViews>
  <sheetFormatPr baseColWidth="10" defaultColWidth="9.140625" defaultRowHeight="15" x14ac:dyDescent="0.25"/>
  <cols>
    <col min="1" max="1" width="9.7109375" customWidth="1"/>
    <col min="2" max="2" width="87.42578125" customWidth="1"/>
    <col min="3" max="3" width="10.140625" bestFit="1" customWidth="1"/>
    <col min="4" max="4" width="68.28515625" customWidth="1"/>
    <col min="5" max="5" width="10.140625" bestFit="1" customWidth="1"/>
    <col min="6" max="6" width="19.140625" customWidth="1"/>
    <col min="7" max="7" width="12.140625" customWidth="1"/>
    <col min="8" max="10" width="10.7109375" bestFit="1" customWidth="1"/>
  </cols>
  <sheetData>
    <row r="1" spans="1:22" x14ac:dyDescent="0.25">
      <c r="A1" s="2" t="s">
        <v>1034</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33" t="s">
        <v>33</v>
      </c>
      <c r="G3" s="2">
        <v>2027</v>
      </c>
      <c r="H3" s="2">
        <v>2028</v>
      </c>
      <c r="I3" s="2">
        <v>2029</v>
      </c>
      <c r="J3" s="34">
        <v>2030</v>
      </c>
    </row>
    <row r="4" spans="1:22" x14ac:dyDescent="0.25">
      <c r="A4" s="58" t="s">
        <v>5</v>
      </c>
      <c r="B4" s="58" t="s">
        <v>150</v>
      </c>
      <c r="C4" s="35" t="s">
        <v>6</v>
      </c>
      <c r="D4" s="58" t="s">
        <v>155</v>
      </c>
      <c r="E4" s="35"/>
      <c r="F4" s="36">
        <f>NPV('Tallgrunnlag inputdata'!$B$6,G4:J4)</f>
        <v>275647.05882352934</v>
      </c>
      <c r="G4" s="37">
        <f>'Tallgrunnlag inputdata'!B299</f>
        <v>286672.94117647054</v>
      </c>
      <c r="H4" s="37">
        <v>0</v>
      </c>
      <c r="I4" s="37">
        <v>0</v>
      </c>
      <c r="J4" s="38">
        <v>0</v>
      </c>
    </row>
    <row r="5" spans="1:22" x14ac:dyDescent="0.25">
      <c r="A5" t="s">
        <v>5</v>
      </c>
      <c r="B5" t="s">
        <v>150</v>
      </c>
      <c r="C5" s="6" t="s">
        <v>14</v>
      </c>
      <c r="D5" t="s">
        <v>994</v>
      </c>
      <c r="E5" s="4"/>
      <c r="F5" s="39">
        <f>NPV('Tallgrunnlag inputdata'!$B$6,G5:J5)</f>
        <v>5185484.5735548465</v>
      </c>
      <c r="G5" s="40">
        <f>'Tallgrunnlag inputdata'!B311</f>
        <v>4012245.1199999996</v>
      </c>
      <c r="H5" s="40">
        <f>'Tallgrunnlag inputdata'!B312</f>
        <v>497518.39487999998</v>
      </c>
      <c r="I5" s="40">
        <f>'Tallgrunnlag inputdata'!B312</f>
        <v>497518.39487999998</v>
      </c>
      <c r="J5" s="24">
        <f>'Tallgrunnlag inputdata'!B312</f>
        <v>497518.39487999998</v>
      </c>
    </row>
    <row r="6" spans="1:22" x14ac:dyDescent="0.25">
      <c r="A6" t="s">
        <v>5</v>
      </c>
      <c r="B6" t="s">
        <v>150</v>
      </c>
      <c r="C6" s="4" t="s">
        <v>15</v>
      </c>
      <c r="D6" t="s">
        <v>175</v>
      </c>
      <c r="E6" s="4"/>
      <c r="F6" s="39">
        <f>NPV('Tallgrunnlag inputdata'!$B$6,G6:J6)</f>
        <v>3307270.5603550295</v>
      </c>
      <c r="G6" s="40">
        <f>'Tallgrunnlag inputdata'!B325</f>
        <v>911120.11670588236</v>
      </c>
      <c r="H6" s="40">
        <f>'Tallgrunnlag inputdata'!B325</f>
        <v>911120.11670588236</v>
      </c>
      <c r="I6" s="40">
        <f>'Tallgrunnlag inputdata'!B325</f>
        <v>911120.11670588236</v>
      </c>
      <c r="J6" s="24">
        <f>'Tallgrunnlag inputdata'!B325</f>
        <v>911120.11670588236</v>
      </c>
    </row>
    <row r="7" spans="1:22" x14ac:dyDescent="0.25">
      <c r="A7" s="7" t="s">
        <v>5</v>
      </c>
      <c r="B7" s="7" t="s">
        <v>150</v>
      </c>
      <c r="C7" s="9" t="s">
        <v>16</v>
      </c>
      <c r="D7" s="7" t="s">
        <v>151</v>
      </c>
      <c r="E7" s="9"/>
      <c r="F7" s="26">
        <f>NPV('Tallgrunnlag inputdata'!$B$6,G7:J7)</f>
        <v>1218034.8962970059</v>
      </c>
      <c r="G7" s="27">
        <v>0</v>
      </c>
      <c r="H7" s="27">
        <f>'Tallgrunnlag inputdata'!B332</f>
        <v>456473.77941176476</v>
      </c>
      <c r="I7" s="27">
        <f>'Tallgrunnlag inputdata'!B332</f>
        <v>456473.77941176476</v>
      </c>
      <c r="J7" s="28">
        <f>'Tallgrunnlag inputdata'!B332</f>
        <v>456473.77941176476</v>
      </c>
    </row>
    <row r="8" spans="1:22" x14ac:dyDescent="0.25">
      <c r="A8" t="s">
        <v>9</v>
      </c>
      <c r="B8" t="s">
        <v>997</v>
      </c>
      <c r="C8" s="4" t="s">
        <v>17</v>
      </c>
      <c r="D8" t="s">
        <v>152</v>
      </c>
      <c r="E8" s="4"/>
      <c r="F8" s="39">
        <f>NPV('Tallgrunnlag inputdata'!$B$6,G8:J8)</f>
        <v>10446226.875</v>
      </c>
      <c r="G8" s="40">
        <f>'Tallgrunnlag inputdata'!B343</f>
        <v>10864075.950000001</v>
      </c>
      <c r="H8" s="40">
        <v>0</v>
      </c>
      <c r="I8" s="40">
        <v>0</v>
      </c>
      <c r="J8" s="24">
        <v>0</v>
      </c>
    </row>
    <row r="9" spans="1:22" x14ac:dyDescent="0.25">
      <c r="A9" t="s">
        <v>9</v>
      </c>
      <c r="B9" t="s">
        <v>997</v>
      </c>
      <c r="C9" s="4" t="s">
        <v>13</v>
      </c>
      <c r="D9" t="s">
        <v>183</v>
      </c>
      <c r="E9" s="4"/>
      <c r="F9" s="39">
        <f>NPV('Tallgrunnlag inputdata'!$B$6,G9:J9)</f>
        <v>7259371.875</v>
      </c>
      <c r="G9" s="40">
        <f>'Tallgrunnlag inputdata'!B353</f>
        <v>7549746.75</v>
      </c>
      <c r="H9" s="40">
        <v>0</v>
      </c>
      <c r="I9" s="40">
        <v>0</v>
      </c>
      <c r="J9" s="24">
        <v>0</v>
      </c>
    </row>
    <row r="10" spans="1:22" x14ac:dyDescent="0.25">
      <c r="A10" s="7" t="s">
        <v>9</v>
      </c>
      <c r="B10" t="s">
        <v>997</v>
      </c>
      <c r="C10" s="9" t="s">
        <v>21</v>
      </c>
      <c r="D10" s="7" t="s">
        <v>153</v>
      </c>
      <c r="E10" s="9"/>
      <c r="F10" s="26">
        <f>NPV('Tallgrunnlag inputdata'!$B$6,G10:J10)</f>
        <v>17129762.239417382</v>
      </c>
      <c r="G10" s="27">
        <v>0</v>
      </c>
      <c r="H10" s="27">
        <f>'Tallgrunnlag inputdata'!B365</f>
        <v>6419592.1919999998</v>
      </c>
      <c r="I10" s="27">
        <f>'Tallgrunnlag inputdata'!B365</f>
        <v>6419592.1919999998</v>
      </c>
      <c r="J10" s="28">
        <f>'Tallgrunnlag inputdata'!B365</f>
        <v>6419592.1919999998</v>
      </c>
    </row>
    <row r="11" spans="1:22" x14ac:dyDescent="0.25">
      <c r="A11" s="53" t="s">
        <v>11</v>
      </c>
      <c r="B11" s="53" t="s">
        <v>967</v>
      </c>
      <c r="C11" s="71" t="s">
        <v>23</v>
      </c>
      <c r="D11" s="53" t="s">
        <v>967</v>
      </c>
      <c r="E11" s="53"/>
      <c r="F11" s="26">
        <f>NPV('Tallgrunnlag inputdata'!$B$6,G11:J11)</f>
        <v>4482179.8078447795</v>
      </c>
      <c r="G11" s="99">
        <f>SUM(G4:G10)*'Tallgrunnlag inputdata'!$B$9</f>
        <v>2362386.0877882354</v>
      </c>
      <c r="H11" s="99">
        <f>SUM(H4:H10)*'Tallgrunnlag inputdata'!$B$9</f>
        <v>828470.44829976466</v>
      </c>
      <c r="I11" s="99">
        <f>SUM(I4:I10)*'Tallgrunnlag inputdata'!$B$9</f>
        <v>828470.44829976466</v>
      </c>
      <c r="J11" s="101">
        <f>SUM(J4:J10)*'Tallgrunnlag inputdata'!$B$9</f>
        <v>828470.44829976466</v>
      </c>
    </row>
    <row r="13" spans="1:22" x14ac:dyDescent="0.25">
      <c r="B13" s="2"/>
      <c r="E13" s="2" t="s">
        <v>31</v>
      </c>
      <c r="F13" s="29">
        <f>SUM(F4:F11)</f>
        <v>49303977.886292569</v>
      </c>
    </row>
    <row r="14" spans="1:22" x14ac:dyDescent="0.25">
      <c r="C14" s="20"/>
    </row>
    <row r="15" spans="1:22" x14ac:dyDescent="0.25">
      <c r="B15" s="10"/>
    </row>
    <row r="16" spans="1:22" x14ac:dyDescent="0.25">
      <c r="B16" s="22"/>
    </row>
    <row r="17" spans="1:4" x14ac:dyDescent="0.25">
      <c r="A17" s="10"/>
      <c r="B17" s="22"/>
    </row>
    <row r="18" spans="1:4" x14ac:dyDescent="0.25">
      <c r="A18" s="22"/>
      <c r="B18" s="22"/>
    </row>
    <row r="19" spans="1:4" x14ac:dyDescent="0.25">
      <c r="A19" s="22"/>
      <c r="B19" s="10"/>
    </row>
    <row r="20" spans="1:4" x14ac:dyDescent="0.25">
      <c r="A20" s="22"/>
      <c r="B20" s="10"/>
    </row>
    <row r="21" spans="1:4" x14ac:dyDescent="0.25">
      <c r="A21" s="22"/>
      <c r="B21" s="22"/>
    </row>
    <row r="22" spans="1:4" x14ac:dyDescent="0.25">
      <c r="A22" s="22"/>
      <c r="B22" s="10"/>
    </row>
    <row r="23" spans="1:4" x14ac:dyDescent="0.25">
      <c r="A23" s="10"/>
      <c r="B23" s="22"/>
    </row>
    <row r="24" spans="1:4" x14ac:dyDescent="0.25">
      <c r="A24" s="22"/>
      <c r="B24" s="22"/>
    </row>
    <row r="25" spans="1:4" x14ac:dyDescent="0.25">
      <c r="A25" s="22"/>
      <c r="B25" s="10"/>
    </row>
    <row r="26" spans="1:4" x14ac:dyDescent="0.25">
      <c r="A26" s="22"/>
      <c r="B26" s="22"/>
    </row>
    <row r="27" spans="1:4" x14ac:dyDescent="0.25">
      <c r="A27" s="10"/>
      <c r="B27" s="10"/>
    </row>
    <row r="28" spans="1:4" x14ac:dyDescent="0.25">
      <c r="A28" s="22"/>
      <c r="B28" s="22"/>
    </row>
    <row r="29" spans="1:4" x14ac:dyDescent="0.25">
      <c r="A29" s="22"/>
      <c r="B29" s="22"/>
    </row>
    <row r="30" spans="1:4" x14ac:dyDescent="0.25">
      <c r="A30" s="22"/>
      <c r="B30" s="22"/>
    </row>
    <row r="31" spans="1:4" x14ac:dyDescent="0.25">
      <c r="A31" s="44"/>
      <c r="B31" s="22"/>
    </row>
    <row r="32" spans="1:4" x14ac:dyDescent="0.25">
      <c r="A32" s="123"/>
      <c r="B32" s="123"/>
      <c r="C32" s="112"/>
      <c r="D32" s="112"/>
    </row>
    <row r="33" spans="1:4" x14ac:dyDescent="0.25">
      <c r="A33" s="113"/>
      <c r="B33" s="113"/>
      <c r="C33" s="112"/>
      <c r="D33" s="112"/>
    </row>
    <row r="34" spans="1:4" x14ac:dyDescent="0.25">
      <c r="A34" s="124"/>
      <c r="B34" s="113"/>
      <c r="C34" s="112"/>
      <c r="D34" s="112"/>
    </row>
    <row r="35" spans="1:4" x14ac:dyDescent="0.25">
      <c r="A35" s="124"/>
      <c r="B35" s="123"/>
      <c r="C35" s="112"/>
      <c r="D35" s="112"/>
    </row>
    <row r="36" spans="1:4" x14ac:dyDescent="0.25">
      <c r="A36" s="124"/>
      <c r="B36" s="125"/>
      <c r="C36" s="125"/>
      <c r="D36" s="112"/>
    </row>
    <row r="37" spans="1:4" x14ac:dyDescent="0.25">
      <c r="A37" s="124"/>
      <c r="B37" s="126"/>
      <c r="C37" s="126"/>
      <c r="D37" s="112"/>
    </row>
    <row r="38" spans="1:4" x14ac:dyDescent="0.25">
      <c r="A38" s="124"/>
      <c r="B38" s="123"/>
      <c r="C38" s="112"/>
      <c r="D38" s="112"/>
    </row>
    <row r="39" spans="1:4" x14ac:dyDescent="0.25">
      <c r="A39" s="124"/>
      <c r="B39" s="113"/>
      <c r="C39" s="112"/>
      <c r="D39" s="112"/>
    </row>
    <row r="40" spans="1:4" x14ac:dyDescent="0.25">
      <c r="A40" s="127"/>
      <c r="B40" s="123"/>
      <c r="C40" s="112"/>
      <c r="D40" s="112"/>
    </row>
    <row r="41" spans="1:4" x14ac:dyDescent="0.25">
      <c r="A41" s="127"/>
      <c r="B41" s="113"/>
      <c r="C41" s="112"/>
      <c r="D41" s="112"/>
    </row>
    <row r="42" spans="1:4" x14ac:dyDescent="0.25">
      <c r="A42" s="127"/>
      <c r="B42" s="113"/>
      <c r="C42" s="112"/>
      <c r="D42" s="112"/>
    </row>
    <row r="43" spans="1:4" x14ac:dyDescent="0.25">
      <c r="B43" s="42"/>
    </row>
    <row r="44" spans="1:4" x14ac:dyDescent="0.25">
      <c r="B44" s="42"/>
    </row>
    <row r="45" spans="1:4" x14ac:dyDescent="0.25">
      <c r="B45" s="74"/>
    </row>
    <row r="46" spans="1:4" x14ac:dyDescent="0.25">
      <c r="B46" s="75"/>
    </row>
    <row r="47" spans="1:4" x14ac:dyDescent="0.25">
      <c r="B47" s="75"/>
    </row>
    <row r="48" spans="1:4" x14ac:dyDescent="0.25">
      <c r="B48" s="75"/>
    </row>
    <row r="49" spans="2:2" x14ac:dyDescent="0.25">
      <c r="B49" s="75"/>
    </row>
    <row r="50" spans="2:2" x14ac:dyDescent="0.25">
      <c r="B50" s="75"/>
    </row>
    <row r="51" spans="2:2" x14ac:dyDescent="0.25">
      <c r="B51" s="75"/>
    </row>
    <row r="52" spans="2:2" x14ac:dyDescent="0.25">
      <c r="B52" s="42"/>
    </row>
    <row r="53" spans="2:2" x14ac:dyDescent="0.25">
      <c r="B53" s="42"/>
    </row>
  </sheetData>
  <phoneticPr fontId="15" type="noConversion"/>
  <pageMargins left="0.7" right="0.7" top="0.75" bottom="0.75" header="0.3" footer="0.3"/>
  <ignoredErrors>
    <ignoredError sqref="C4:C10"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2AA2-CD76-49D4-9775-0F2A22C880C2}">
  <dimension ref="A1:V224"/>
  <sheetViews>
    <sheetView showGridLines="0" zoomScaleNormal="100" workbookViewId="0">
      <selection activeCell="B32" sqref="B32"/>
    </sheetView>
  </sheetViews>
  <sheetFormatPr baseColWidth="10" defaultColWidth="9.140625" defaultRowHeight="15" x14ac:dyDescent="0.25"/>
  <cols>
    <col min="1" max="1" width="9.7109375" customWidth="1"/>
    <col min="2" max="2" width="82.7109375" customWidth="1"/>
    <col min="3" max="3" width="10.140625" bestFit="1" customWidth="1"/>
    <col min="4" max="4" width="95.7109375" bestFit="1" customWidth="1"/>
    <col min="5" max="5" width="10.140625" bestFit="1" customWidth="1"/>
    <col min="6" max="6" width="19.140625" customWidth="1"/>
    <col min="7" max="9" width="12" bestFit="1" customWidth="1"/>
    <col min="10" max="10" width="11.7109375" customWidth="1"/>
    <col min="13" max="13" width="33.42578125" customWidth="1"/>
    <col min="14" max="14" width="14.42578125" bestFit="1" customWidth="1"/>
  </cols>
  <sheetData>
    <row r="1" spans="1:22" x14ac:dyDescent="0.25">
      <c r="A1" s="2" t="s">
        <v>1036</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E3" s="7"/>
      <c r="F3" s="16" t="s">
        <v>33</v>
      </c>
      <c r="G3" s="17">
        <v>2027</v>
      </c>
      <c r="H3" s="17">
        <v>2028</v>
      </c>
      <c r="I3" s="17">
        <v>2029</v>
      </c>
      <c r="J3" s="23">
        <v>2030</v>
      </c>
    </row>
    <row r="4" spans="1:22" x14ac:dyDescent="0.25">
      <c r="A4" t="s">
        <v>5</v>
      </c>
      <c r="B4" s="5" t="s">
        <v>443</v>
      </c>
      <c r="C4" s="4" t="s">
        <v>6</v>
      </c>
      <c r="D4" t="s">
        <v>444</v>
      </c>
      <c r="F4" s="13">
        <f>NPV('Tallgrunnlag inputdata'!$B$6,G4:J4)</f>
        <v>1579595.2941176472</v>
      </c>
      <c r="G4" s="19">
        <f>'Tallgrunnlag inputdata'!B402</f>
        <v>1642779.1058823531</v>
      </c>
      <c r="H4" s="19"/>
      <c r="I4" s="19"/>
      <c r="J4" s="24"/>
    </row>
    <row r="5" spans="1:22" x14ac:dyDescent="0.25">
      <c r="A5" t="s">
        <v>5</v>
      </c>
      <c r="B5" s="5" t="s">
        <v>443</v>
      </c>
      <c r="C5" s="4" t="s">
        <v>14</v>
      </c>
      <c r="D5" t="s">
        <v>110</v>
      </c>
      <c r="F5" s="13">
        <f>NPV('Tallgrunnlag inputdata'!$B$6,G5:J5)</f>
        <v>635610.50684087921</v>
      </c>
      <c r="G5" s="19">
        <v>0</v>
      </c>
      <c r="H5" s="19">
        <f>'Tallgrunnlag inputdata'!$B$403</f>
        <v>238202.97035294119</v>
      </c>
      <c r="I5" s="19">
        <f>'Tallgrunnlag inputdata'!$B$403</f>
        <v>238202.97035294119</v>
      </c>
      <c r="J5" s="24">
        <f>'Tallgrunnlag inputdata'!$B$403</f>
        <v>238202.97035294119</v>
      </c>
    </row>
    <row r="6" spans="1:22" x14ac:dyDescent="0.25">
      <c r="A6" s="7" t="s">
        <v>5</v>
      </c>
      <c r="B6" s="8" t="s">
        <v>443</v>
      </c>
      <c r="C6" s="9" t="s">
        <v>15</v>
      </c>
      <c r="D6" s="7" t="s">
        <v>445</v>
      </c>
      <c r="E6" s="7"/>
      <c r="F6" s="26">
        <f>NPV('Tallgrunnlag inputdata'!$B$6,G6:J6)</f>
        <v>2503838.5655154758</v>
      </c>
      <c r="G6" s="27">
        <f>'Tallgrunnlag inputdata'!$B$411</f>
        <v>689782.60000000009</v>
      </c>
      <c r="H6" s="27">
        <f>'Tallgrunnlag inputdata'!$B$411</f>
        <v>689782.60000000009</v>
      </c>
      <c r="I6" s="27">
        <f>'Tallgrunnlag inputdata'!$B$411</f>
        <v>689782.60000000009</v>
      </c>
      <c r="J6" s="28">
        <f>'Tallgrunnlag inputdata'!$B$411</f>
        <v>689782.60000000009</v>
      </c>
    </row>
    <row r="7" spans="1:22" x14ac:dyDescent="0.25">
      <c r="A7" s="4" t="s">
        <v>9</v>
      </c>
      <c r="B7" t="s">
        <v>442</v>
      </c>
      <c r="C7" s="4" t="s">
        <v>17</v>
      </c>
      <c r="D7" t="s">
        <v>447</v>
      </c>
      <c r="F7" s="13">
        <f>NPV('Tallgrunnlag inputdata'!$B$6,G7:J7)</f>
        <v>34163685.593991801</v>
      </c>
      <c r="G7" s="19">
        <f>'Tallgrunnlag inputdata'!$B$427</f>
        <v>9411755.2941176463</v>
      </c>
      <c r="H7" s="19">
        <f>'Tallgrunnlag inputdata'!$B$427</f>
        <v>9411755.2941176463</v>
      </c>
      <c r="I7" s="19">
        <f>'Tallgrunnlag inputdata'!$B$427</f>
        <v>9411755.2941176463</v>
      </c>
      <c r="J7" s="24">
        <f>'Tallgrunnlag inputdata'!$B$427</f>
        <v>9411755.2941176463</v>
      </c>
    </row>
    <row r="8" spans="1:22" x14ac:dyDescent="0.25">
      <c r="A8" s="4" t="s">
        <v>9</v>
      </c>
      <c r="B8" t="s">
        <v>442</v>
      </c>
      <c r="C8" s="4" t="s">
        <v>13</v>
      </c>
      <c r="D8" t="s">
        <v>446</v>
      </c>
      <c r="F8" s="13">
        <f>NPV('Tallgrunnlag inputdata'!$B$6,G8:J8)</f>
        <v>34498489.712812923</v>
      </c>
      <c r="G8" s="19">
        <f>'Tallgrunnlag inputdata'!$B$443</f>
        <v>9503990.4960000012</v>
      </c>
      <c r="H8" s="19">
        <f>'Tallgrunnlag inputdata'!$B$443</f>
        <v>9503990.4960000012</v>
      </c>
      <c r="I8" s="19">
        <f>'Tallgrunnlag inputdata'!$B$443</f>
        <v>9503990.4960000012</v>
      </c>
      <c r="J8" s="24">
        <f>'Tallgrunnlag inputdata'!$B$443</f>
        <v>9503990.4960000012</v>
      </c>
    </row>
    <row r="9" spans="1:22" x14ac:dyDescent="0.25">
      <c r="A9" s="9" t="s">
        <v>9</v>
      </c>
      <c r="B9" s="7" t="s">
        <v>442</v>
      </c>
      <c r="C9" s="9" t="s">
        <v>21</v>
      </c>
      <c r="D9" s="7" t="s">
        <v>448</v>
      </c>
      <c r="E9" s="7"/>
      <c r="F9" s="26">
        <f>NPV('Tallgrunnlag inputdata'!$B$6,G9:J9)</f>
        <v>2503838.5655154758</v>
      </c>
      <c r="G9" s="27">
        <f>'Tallgrunnlag inputdata'!$B$451</f>
        <v>689782.60000000009</v>
      </c>
      <c r="H9" s="27">
        <f>'Tallgrunnlag inputdata'!$B$451</f>
        <v>689782.60000000009</v>
      </c>
      <c r="I9" s="27">
        <f>'Tallgrunnlag inputdata'!$B$451</f>
        <v>689782.60000000009</v>
      </c>
      <c r="J9" s="28">
        <f>'Tallgrunnlag inputdata'!$B$451</f>
        <v>689782.60000000009</v>
      </c>
    </row>
    <row r="10" spans="1:22" x14ac:dyDescent="0.25">
      <c r="A10" s="53" t="s">
        <v>11</v>
      </c>
      <c r="B10" s="53" t="s">
        <v>967</v>
      </c>
      <c r="C10" s="71" t="s">
        <v>23</v>
      </c>
      <c r="D10" s="53" t="s">
        <v>967</v>
      </c>
      <c r="E10" s="53"/>
      <c r="F10" s="55">
        <f>NPV('Tallgrunnlag inputdata'!$B$6,G10:J10)</f>
        <v>7588505.8238794217</v>
      </c>
      <c r="G10" s="99">
        <f>SUM(G4:G9)*'Tallgrunnlag inputdata'!$B$9</f>
        <v>2193809.0096</v>
      </c>
      <c r="H10" s="99">
        <f>SUM(H4:H9)*'Tallgrunnlag inputdata'!$B$9</f>
        <v>2053351.3960470592</v>
      </c>
      <c r="I10" s="99">
        <f>SUM(I4:I9)*'Tallgrunnlag inputdata'!$B$9</f>
        <v>2053351.3960470592</v>
      </c>
      <c r="J10" s="101">
        <f>SUM(J4:J9)*'Tallgrunnlag inputdata'!$B$9</f>
        <v>2053351.3960470592</v>
      </c>
    </row>
    <row r="11" spans="1:22" x14ac:dyDescent="0.25">
      <c r="M11" s="112"/>
      <c r="N11" s="112"/>
      <c r="O11" s="112"/>
      <c r="P11" s="112"/>
    </row>
    <row r="12" spans="1:22" x14ac:dyDescent="0.25">
      <c r="E12" s="2" t="s">
        <v>31</v>
      </c>
      <c r="F12" s="29">
        <f>SUM(F4:F10)</f>
        <v>83473564.062673613</v>
      </c>
      <c r="M12" s="112"/>
      <c r="N12" s="112"/>
      <c r="O12" s="112"/>
      <c r="P12" s="112"/>
    </row>
    <row r="13" spans="1:22" ht="21" x14ac:dyDescent="0.25">
      <c r="B13" s="48"/>
      <c r="M13" s="112"/>
      <c r="N13" s="128"/>
      <c r="O13" s="112"/>
      <c r="P13" s="112"/>
    </row>
    <row r="14" spans="1:22" x14ac:dyDescent="0.25">
      <c r="B14" s="75"/>
      <c r="M14" s="112"/>
      <c r="N14" s="128"/>
      <c r="O14" s="112"/>
      <c r="P14" s="112"/>
    </row>
    <row r="15" spans="1:22" x14ac:dyDescent="0.25">
      <c r="B15" s="81"/>
      <c r="M15" s="112"/>
      <c r="N15" s="128"/>
      <c r="O15" s="112"/>
      <c r="P15" s="112"/>
    </row>
    <row r="16" spans="1:22" x14ac:dyDescent="0.25">
      <c r="B16" s="81"/>
      <c r="M16" s="112"/>
      <c r="N16" s="128"/>
      <c r="O16" s="112"/>
      <c r="P16" s="112"/>
    </row>
    <row r="17" spans="2:2" x14ac:dyDescent="0.25">
      <c r="B17" s="82"/>
    </row>
    <row r="18" spans="2:2" x14ac:dyDescent="0.25">
      <c r="B18" s="83"/>
    </row>
    <row r="19" spans="2:2" x14ac:dyDescent="0.25">
      <c r="B19" s="84"/>
    </row>
    <row r="20" spans="2:2" x14ac:dyDescent="0.25">
      <c r="B20" s="85"/>
    </row>
    <row r="21" spans="2:2" x14ac:dyDescent="0.25">
      <c r="B21" s="86"/>
    </row>
    <row r="22" spans="2:2" x14ac:dyDescent="0.25">
      <c r="B22" s="87"/>
    </row>
    <row r="23" spans="2:2" x14ac:dyDescent="0.25">
      <c r="B23" s="87"/>
    </row>
    <row r="24" spans="2:2" x14ac:dyDescent="0.25">
      <c r="B24" s="87"/>
    </row>
    <row r="25" spans="2:2" x14ac:dyDescent="0.25">
      <c r="B25" s="87"/>
    </row>
    <row r="26" spans="2:2" x14ac:dyDescent="0.25">
      <c r="B26" s="84"/>
    </row>
    <row r="27" spans="2:2" x14ac:dyDescent="0.25">
      <c r="B27" s="85"/>
    </row>
    <row r="28" spans="2:2" x14ac:dyDescent="0.25">
      <c r="B28" s="86"/>
    </row>
    <row r="29" spans="2:2" x14ac:dyDescent="0.25">
      <c r="B29" s="87"/>
    </row>
    <row r="30" spans="2:2" x14ac:dyDescent="0.25">
      <c r="B30" s="87"/>
    </row>
    <row r="31" spans="2:2" x14ac:dyDescent="0.25">
      <c r="B31" s="87"/>
    </row>
    <row r="32" spans="2:2" x14ac:dyDescent="0.25">
      <c r="B32" s="87"/>
    </row>
    <row r="33" spans="2:2" x14ac:dyDescent="0.25">
      <c r="B33" s="81"/>
    </row>
    <row r="34" spans="2:2" x14ac:dyDescent="0.25">
      <c r="B34" s="81"/>
    </row>
    <row r="35" spans="2:2" x14ac:dyDescent="0.25">
      <c r="B35" s="81"/>
    </row>
    <row r="36" spans="2:2" x14ac:dyDescent="0.25">
      <c r="B36" s="82"/>
    </row>
    <row r="37" spans="2:2" x14ac:dyDescent="0.25">
      <c r="B37" s="83"/>
    </row>
    <row r="38" spans="2:2" x14ac:dyDescent="0.25">
      <c r="B38" s="86"/>
    </row>
    <row r="39" spans="2:2" x14ac:dyDescent="0.25">
      <c r="B39" s="87"/>
    </row>
    <row r="40" spans="2:2" x14ac:dyDescent="0.25">
      <c r="B40" s="87"/>
    </row>
    <row r="41" spans="2:2" x14ac:dyDescent="0.25">
      <c r="B41" s="87"/>
    </row>
    <row r="42" spans="2:2" x14ac:dyDescent="0.25">
      <c r="B42" s="87"/>
    </row>
    <row r="43" spans="2:2" x14ac:dyDescent="0.25">
      <c r="B43" s="84"/>
    </row>
    <row r="44" spans="2:2" x14ac:dyDescent="0.25">
      <c r="B44" s="83"/>
    </row>
    <row r="45" spans="2:2" x14ac:dyDescent="0.25">
      <c r="B45" s="86"/>
    </row>
    <row r="46" spans="2:2" x14ac:dyDescent="0.25">
      <c r="B46" s="87"/>
    </row>
    <row r="47" spans="2:2" x14ac:dyDescent="0.25">
      <c r="B47" s="87"/>
    </row>
    <row r="48" spans="2:2" x14ac:dyDescent="0.25">
      <c r="B48" s="87"/>
    </row>
    <row r="49" spans="2:2" x14ac:dyDescent="0.25">
      <c r="B49" s="87"/>
    </row>
    <row r="50" spans="2:2" x14ac:dyDescent="0.25">
      <c r="B50" s="87"/>
    </row>
    <row r="51" spans="2:2" ht="15.75" x14ac:dyDescent="0.25">
      <c r="B51" s="79"/>
    </row>
    <row r="52" spans="2:2" ht="15.75" x14ac:dyDescent="0.25">
      <c r="B52" s="79"/>
    </row>
    <row r="53" spans="2:2" ht="15.75" x14ac:dyDescent="0.25">
      <c r="B53" s="79"/>
    </row>
    <row r="54" spans="2:2" ht="15.75" x14ac:dyDescent="0.25">
      <c r="B54" s="79"/>
    </row>
    <row r="55" spans="2:2" ht="15.75" x14ac:dyDescent="0.25">
      <c r="B55" s="79"/>
    </row>
    <row r="56" spans="2:2" ht="15.75" x14ac:dyDescent="0.25">
      <c r="B56" s="79"/>
    </row>
    <row r="57" spans="2:2" ht="15.75" x14ac:dyDescent="0.25">
      <c r="B57" s="79"/>
    </row>
    <row r="58" spans="2:2" ht="15.75" x14ac:dyDescent="0.25">
      <c r="B58" s="79"/>
    </row>
    <row r="59" spans="2:2" ht="15.75" x14ac:dyDescent="0.25">
      <c r="B59" s="79"/>
    </row>
    <row r="60" spans="2:2" ht="15.75" x14ac:dyDescent="0.25">
      <c r="B60" s="79"/>
    </row>
    <row r="61" spans="2:2" ht="15.75" x14ac:dyDescent="0.25">
      <c r="B61" s="79"/>
    </row>
    <row r="62" spans="2:2" ht="15.75" x14ac:dyDescent="0.25">
      <c r="B62" s="79"/>
    </row>
    <row r="63" spans="2:2" ht="15.75" x14ac:dyDescent="0.25">
      <c r="B63" s="79"/>
    </row>
    <row r="64" spans="2:2" ht="15.75" x14ac:dyDescent="0.25">
      <c r="B64" s="79"/>
    </row>
    <row r="65" spans="2:2" ht="15.75" x14ac:dyDescent="0.25">
      <c r="B65" s="79"/>
    </row>
    <row r="66" spans="2:2" ht="15.75" x14ac:dyDescent="0.25">
      <c r="B66" s="79"/>
    </row>
    <row r="67" spans="2:2" ht="15.75" x14ac:dyDescent="0.25">
      <c r="B67" s="79"/>
    </row>
    <row r="68" spans="2:2" ht="15.75" x14ac:dyDescent="0.25">
      <c r="B68" s="79"/>
    </row>
    <row r="69" spans="2:2" ht="15.75" x14ac:dyDescent="0.25">
      <c r="B69" s="79"/>
    </row>
    <row r="70" spans="2:2" ht="15.75" x14ac:dyDescent="0.25">
      <c r="B70" s="79"/>
    </row>
    <row r="71" spans="2:2" ht="15.75" x14ac:dyDescent="0.25">
      <c r="B71" s="79"/>
    </row>
    <row r="72" spans="2:2" ht="15.75" x14ac:dyDescent="0.25">
      <c r="B72" s="79"/>
    </row>
    <row r="73" spans="2:2" ht="15.75" x14ac:dyDescent="0.25">
      <c r="B73" s="79"/>
    </row>
    <row r="74" spans="2:2" ht="15.75" x14ac:dyDescent="0.25">
      <c r="B74" s="79"/>
    </row>
    <row r="75" spans="2:2" ht="15.75" x14ac:dyDescent="0.25">
      <c r="B75" s="79"/>
    </row>
    <row r="76" spans="2:2" ht="15.75" x14ac:dyDescent="0.25">
      <c r="B76" s="79"/>
    </row>
    <row r="77" spans="2:2" ht="15.75" x14ac:dyDescent="0.25">
      <c r="B77" s="79"/>
    </row>
    <row r="78" spans="2:2" ht="15.75" x14ac:dyDescent="0.25">
      <c r="B78" s="79"/>
    </row>
    <row r="79" spans="2:2" ht="15.75" x14ac:dyDescent="0.25">
      <c r="B79" s="79"/>
    </row>
    <row r="80" spans="2:2" ht="15.75" x14ac:dyDescent="0.25">
      <c r="B80" s="79"/>
    </row>
    <row r="81" spans="2:2" ht="15.75" x14ac:dyDescent="0.25">
      <c r="B81" s="79"/>
    </row>
    <row r="82" spans="2:2" ht="15.75" x14ac:dyDescent="0.25">
      <c r="B82" s="79"/>
    </row>
    <row r="83" spans="2:2" ht="15.75" x14ac:dyDescent="0.25">
      <c r="B83" s="79"/>
    </row>
    <row r="84" spans="2:2" ht="15.75" x14ac:dyDescent="0.25">
      <c r="B84" s="79"/>
    </row>
    <row r="85" spans="2:2" ht="15.75" x14ac:dyDescent="0.25">
      <c r="B85" s="79"/>
    </row>
    <row r="86" spans="2:2" ht="15.75" x14ac:dyDescent="0.25">
      <c r="B86" s="79"/>
    </row>
    <row r="87" spans="2:2" ht="15.75" x14ac:dyDescent="0.25">
      <c r="B87" s="79"/>
    </row>
    <row r="88" spans="2:2" ht="15.75" x14ac:dyDescent="0.25">
      <c r="B88" s="79"/>
    </row>
    <row r="89" spans="2:2" ht="15.75" x14ac:dyDescent="0.25">
      <c r="B89" s="79"/>
    </row>
    <row r="90" spans="2:2" ht="15.75" x14ac:dyDescent="0.25">
      <c r="B90" s="79"/>
    </row>
    <row r="91" spans="2:2" ht="15.75" x14ac:dyDescent="0.25">
      <c r="B91" s="79"/>
    </row>
    <row r="92" spans="2:2" ht="15.75" x14ac:dyDescent="0.25">
      <c r="B92" s="79"/>
    </row>
    <row r="93" spans="2:2" ht="15.75" x14ac:dyDescent="0.25">
      <c r="B93" s="79"/>
    </row>
    <row r="94" spans="2:2" ht="15.75" x14ac:dyDescent="0.25">
      <c r="B94" s="79"/>
    </row>
    <row r="95" spans="2:2" ht="15.75" x14ac:dyDescent="0.25">
      <c r="B95" s="79"/>
    </row>
    <row r="96" spans="2:2" ht="15.75" x14ac:dyDescent="0.25">
      <c r="B96" s="79"/>
    </row>
    <row r="97" spans="2:2" ht="15.75" x14ac:dyDescent="0.25">
      <c r="B97" s="79"/>
    </row>
    <row r="98" spans="2:2" ht="15.75" x14ac:dyDescent="0.25">
      <c r="B98" s="79"/>
    </row>
    <row r="99" spans="2:2" ht="15.75" x14ac:dyDescent="0.25">
      <c r="B99" s="80"/>
    </row>
    <row r="100" spans="2:2" ht="15.75" x14ac:dyDescent="0.25">
      <c r="B100" s="79"/>
    </row>
    <row r="101" spans="2:2" ht="15.75" x14ac:dyDescent="0.25">
      <c r="B101" s="30"/>
    </row>
    <row r="102" spans="2:2" ht="15.75" x14ac:dyDescent="0.25">
      <c r="B102" s="79"/>
    </row>
    <row r="103" spans="2:2" ht="15.75" x14ac:dyDescent="0.25">
      <c r="B103" s="79"/>
    </row>
    <row r="104" spans="2:2" ht="15.75" x14ac:dyDescent="0.25">
      <c r="B104" s="79"/>
    </row>
    <row r="105" spans="2:2" ht="15.75" x14ac:dyDescent="0.25">
      <c r="B105" s="79"/>
    </row>
    <row r="106" spans="2:2" ht="15.75" x14ac:dyDescent="0.25">
      <c r="B106" s="79"/>
    </row>
    <row r="107" spans="2:2" ht="15.75" x14ac:dyDescent="0.25">
      <c r="B107" s="79"/>
    </row>
    <row r="108" spans="2:2" ht="15.75" x14ac:dyDescent="0.25">
      <c r="B108" s="79"/>
    </row>
    <row r="109" spans="2:2" ht="15.75" x14ac:dyDescent="0.25">
      <c r="B109" s="79"/>
    </row>
    <row r="110" spans="2:2" ht="15.75" x14ac:dyDescent="0.25">
      <c r="B110" s="79"/>
    </row>
    <row r="111" spans="2:2" ht="15.75" x14ac:dyDescent="0.25">
      <c r="B111" s="79"/>
    </row>
    <row r="112" spans="2:2" ht="15.75" x14ac:dyDescent="0.25">
      <c r="B112" s="79"/>
    </row>
    <row r="113" spans="2:2" ht="15.75" x14ac:dyDescent="0.25">
      <c r="B113" s="79"/>
    </row>
    <row r="114" spans="2:2" ht="15.75" x14ac:dyDescent="0.25">
      <c r="B114" s="79"/>
    </row>
    <row r="115" spans="2:2" ht="15.75" x14ac:dyDescent="0.25">
      <c r="B115" s="79"/>
    </row>
    <row r="116" spans="2:2" ht="15.75" x14ac:dyDescent="0.25">
      <c r="B116" s="79"/>
    </row>
    <row r="117" spans="2:2" ht="15.75" x14ac:dyDescent="0.25">
      <c r="B117" s="79"/>
    </row>
    <row r="118" spans="2:2" ht="15.75" x14ac:dyDescent="0.25">
      <c r="B118" s="79"/>
    </row>
    <row r="119" spans="2:2" ht="15.75" x14ac:dyDescent="0.25">
      <c r="B119" s="79"/>
    </row>
    <row r="120" spans="2:2" ht="15.75" x14ac:dyDescent="0.25">
      <c r="B120" s="79"/>
    </row>
    <row r="121" spans="2:2" ht="15.75" x14ac:dyDescent="0.25">
      <c r="B121" s="79"/>
    </row>
    <row r="122" spans="2:2" ht="15.75" x14ac:dyDescent="0.25">
      <c r="B122" s="79"/>
    </row>
    <row r="123" spans="2:2" ht="15.75" x14ac:dyDescent="0.25">
      <c r="B123" s="79"/>
    </row>
    <row r="124" spans="2:2" ht="15.75" x14ac:dyDescent="0.25">
      <c r="B124" s="79"/>
    </row>
    <row r="125" spans="2:2" ht="15.75" x14ac:dyDescent="0.25">
      <c r="B125" s="79"/>
    </row>
    <row r="126" spans="2:2" ht="15.75" x14ac:dyDescent="0.25">
      <c r="B126" s="79"/>
    </row>
    <row r="127" spans="2:2" ht="15.75" x14ac:dyDescent="0.25">
      <c r="B127" s="80"/>
    </row>
    <row r="128" spans="2:2" ht="15.75" x14ac:dyDescent="0.25">
      <c r="B128" s="79"/>
    </row>
    <row r="129" spans="2:2" ht="15.75" x14ac:dyDescent="0.25">
      <c r="B129" s="79"/>
    </row>
    <row r="130" spans="2:2" ht="15.75" x14ac:dyDescent="0.25">
      <c r="B130" s="79"/>
    </row>
    <row r="131" spans="2:2" ht="15.75" x14ac:dyDescent="0.25">
      <c r="B131" s="79"/>
    </row>
    <row r="132" spans="2:2" ht="15.75" x14ac:dyDescent="0.25">
      <c r="B132" s="79"/>
    </row>
    <row r="133" spans="2:2" ht="15.75" x14ac:dyDescent="0.25">
      <c r="B133" s="79"/>
    </row>
    <row r="134" spans="2:2" ht="15.75" x14ac:dyDescent="0.25">
      <c r="B134" s="79"/>
    </row>
    <row r="135" spans="2:2" ht="15.75" x14ac:dyDescent="0.25">
      <c r="B135" s="79"/>
    </row>
    <row r="136" spans="2:2" ht="15.75" x14ac:dyDescent="0.25">
      <c r="B136" s="79"/>
    </row>
    <row r="137" spans="2:2" ht="15.75" x14ac:dyDescent="0.25">
      <c r="B137" s="79"/>
    </row>
    <row r="138" spans="2:2" ht="15.75" x14ac:dyDescent="0.25">
      <c r="B138" s="79"/>
    </row>
    <row r="139" spans="2:2" ht="15.75" x14ac:dyDescent="0.25">
      <c r="B139" s="79"/>
    </row>
    <row r="140" spans="2:2" ht="15.75" x14ac:dyDescent="0.25">
      <c r="B140" s="79"/>
    </row>
    <row r="141" spans="2:2" ht="15.75" x14ac:dyDescent="0.25">
      <c r="B141" s="79"/>
    </row>
    <row r="142" spans="2:2" ht="15.75" x14ac:dyDescent="0.25">
      <c r="B142" s="79"/>
    </row>
    <row r="143" spans="2:2" ht="15.75" x14ac:dyDescent="0.25">
      <c r="B143" s="80"/>
    </row>
    <row r="144" spans="2:2" ht="15.75" x14ac:dyDescent="0.25">
      <c r="B144" s="79"/>
    </row>
    <row r="145" spans="2:2" ht="15.75" x14ac:dyDescent="0.25">
      <c r="B145" s="30"/>
    </row>
    <row r="146" spans="2:2" ht="15.75" x14ac:dyDescent="0.25">
      <c r="B146" s="79"/>
    </row>
    <row r="147" spans="2:2" ht="15.75" x14ac:dyDescent="0.25">
      <c r="B147" s="79"/>
    </row>
    <row r="148" spans="2:2" ht="15.75" x14ac:dyDescent="0.25">
      <c r="B148" s="79"/>
    </row>
    <row r="149" spans="2:2" ht="15.75" x14ac:dyDescent="0.25">
      <c r="B149" s="79"/>
    </row>
    <row r="150" spans="2:2" ht="15.75" x14ac:dyDescent="0.25">
      <c r="B150" s="79"/>
    </row>
    <row r="151" spans="2:2" ht="15.75" x14ac:dyDescent="0.25">
      <c r="B151" s="79"/>
    </row>
    <row r="152" spans="2:2" ht="15.75" x14ac:dyDescent="0.25">
      <c r="B152" s="79"/>
    </row>
    <row r="153" spans="2:2" ht="15.75" x14ac:dyDescent="0.25">
      <c r="B153" s="79"/>
    </row>
    <row r="154" spans="2:2" ht="15.75" x14ac:dyDescent="0.25">
      <c r="B154" s="79"/>
    </row>
    <row r="155" spans="2:2" ht="15.75" x14ac:dyDescent="0.25">
      <c r="B155" s="79"/>
    </row>
    <row r="156" spans="2:2" ht="15.75" x14ac:dyDescent="0.25">
      <c r="B156" s="79"/>
    </row>
    <row r="157" spans="2:2" ht="15.75" x14ac:dyDescent="0.25">
      <c r="B157" s="79"/>
    </row>
    <row r="158" spans="2:2" ht="15.75" x14ac:dyDescent="0.25">
      <c r="B158" s="79"/>
    </row>
    <row r="159" spans="2:2" ht="15.75" x14ac:dyDescent="0.25">
      <c r="B159" s="79"/>
    </row>
    <row r="160" spans="2:2" ht="15.75" x14ac:dyDescent="0.25">
      <c r="B160" s="79"/>
    </row>
    <row r="161" spans="2:2" ht="15.75" x14ac:dyDescent="0.25">
      <c r="B161" s="79"/>
    </row>
    <row r="162" spans="2:2" ht="15.75" x14ac:dyDescent="0.25">
      <c r="B162" s="79"/>
    </row>
    <row r="163" spans="2:2" ht="15.75" x14ac:dyDescent="0.25">
      <c r="B163" s="79"/>
    </row>
    <row r="164" spans="2:2" ht="15.75" x14ac:dyDescent="0.25">
      <c r="B164" s="79"/>
    </row>
    <row r="165" spans="2:2" ht="15.75" x14ac:dyDescent="0.25">
      <c r="B165" s="79"/>
    </row>
    <row r="166" spans="2:2" ht="15.75" x14ac:dyDescent="0.25">
      <c r="B166" s="79"/>
    </row>
    <row r="167" spans="2:2" ht="15.75" x14ac:dyDescent="0.25">
      <c r="B167" s="79"/>
    </row>
    <row r="168" spans="2:2" ht="15.75" x14ac:dyDescent="0.25">
      <c r="B168" s="79"/>
    </row>
    <row r="169" spans="2:2" ht="15.75" x14ac:dyDescent="0.25">
      <c r="B169" s="79"/>
    </row>
    <row r="170" spans="2:2" ht="15.75" x14ac:dyDescent="0.25">
      <c r="B170" s="79"/>
    </row>
    <row r="171" spans="2:2" ht="15.75" x14ac:dyDescent="0.25">
      <c r="B171" s="79"/>
    </row>
    <row r="172" spans="2:2" ht="15.75" x14ac:dyDescent="0.25">
      <c r="B172" s="79"/>
    </row>
    <row r="173" spans="2:2" ht="15.75" x14ac:dyDescent="0.25">
      <c r="B173" s="79"/>
    </row>
    <row r="174" spans="2:2" ht="15.75" x14ac:dyDescent="0.25">
      <c r="B174" s="79"/>
    </row>
    <row r="175" spans="2:2" ht="15.75" x14ac:dyDescent="0.25">
      <c r="B175" s="79"/>
    </row>
    <row r="176" spans="2:2" ht="15.75" x14ac:dyDescent="0.25">
      <c r="B176" s="79"/>
    </row>
    <row r="177" spans="2:2" ht="15.75" x14ac:dyDescent="0.25">
      <c r="B177" s="79"/>
    </row>
    <row r="178" spans="2:2" ht="15.75" x14ac:dyDescent="0.25">
      <c r="B178" s="79"/>
    </row>
    <row r="179" spans="2:2" ht="15.75" x14ac:dyDescent="0.25">
      <c r="B179" s="79"/>
    </row>
    <row r="180" spans="2:2" ht="15.75" x14ac:dyDescent="0.25">
      <c r="B180" s="79"/>
    </row>
    <row r="181" spans="2:2" ht="15.75" x14ac:dyDescent="0.25">
      <c r="B181" s="79"/>
    </row>
    <row r="182" spans="2:2" ht="15.75" x14ac:dyDescent="0.25">
      <c r="B182" s="79"/>
    </row>
    <row r="183" spans="2:2" ht="15.75" x14ac:dyDescent="0.25">
      <c r="B183" s="79"/>
    </row>
    <row r="184" spans="2:2" ht="15.75" x14ac:dyDescent="0.25">
      <c r="B184" s="79"/>
    </row>
    <row r="185" spans="2:2" ht="15.75" x14ac:dyDescent="0.25">
      <c r="B185" s="79"/>
    </row>
    <row r="186" spans="2:2" ht="15.75" x14ac:dyDescent="0.25">
      <c r="B186" s="80"/>
    </row>
    <row r="187" spans="2:2" ht="15.75" x14ac:dyDescent="0.25">
      <c r="B187" s="79"/>
    </row>
    <row r="188" spans="2:2" ht="15.75" x14ac:dyDescent="0.25">
      <c r="B188" s="30"/>
    </row>
    <row r="189" spans="2:2" ht="15.75" x14ac:dyDescent="0.25">
      <c r="B189" s="79"/>
    </row>
    <row r="190" spans="2:2" ht="15.75" x14ac:dyDescent="0.25">
      <c r="B190" s="80"/>
    </row>
    <row r="191" spans="2:2" ht="15.75" x14ac:dyDescent="0.25">
      <c r="B191" s="79"/>
    </row>
    <row r="192" spans="2:2" ht="15.75" x14ac:dyDescent="0.25">
      <c r="B192" s="30"/>
    </row>
    <row r="193" spans="2:2" ht="15.75" x14ac:dyDescent="0.25">
      <c r="B193" s="79"/>
    </row>
    <row r="194" spans="2:2" ht="15.75" x14ac:dyDescent="0.25">
      <c r="B194" s="79"/>
    </row>
    <row r="195" spans="2:2" ht="15.75" x14ac:dyDescent="0.25">
      <c r="B195" s="79"/>
    </row>
    <row r="196" spans="2:2" ht="15.75" x14ac:dyDescent="0.25">
      <c r="B196" s="79"/>
    </row>
    <row r="224" spans="2:2" x14ac:dyDescent="0.25">
      <c r="B224" s="76"/>
    </row>
  </sheetData>
  <pageMargins left="0.7" right="0.7" top="0.75" bottom="0.75" header="0.3" footer="0.3"/>
  <ignoredErrors>
    <ignoredError sqref="C4:C9" twoDigitTextYear="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9FA5-16AF-4E8D-8581-9A875F0342E3}">
  <sheetPr>
    <tabColor theme="0" tint="-0.14999847407452621"/>
  </sheetPr>
  <dimension ref="A1:V46"/>
  <sheetViews>
    <sheetView showGridLines="0" zoomScaleNormal="100" workbookViewId="0">
      <selection activeCell="B15" sqref="B15"/>
    </sheetView>
  </sheetViews>
  <sheetFormatPr baseColWidth="10" defaultColWidth="9.140625" defaultRowHeight="15" x14ac:dyDescent="0.25"/>
  <cols>
    <col min="1" max="1" width="9.7109375" customWidth="1"/>
    <col min="2" max="2" width="53" bestFit="1" customWidth="1"/>
    <col min="3" max="3" width="10.140625" bestFit="1" customWidth="1"/>
    <col min="4" max="4" width="88.42578125" customWidth="1"/>
    <col min="5" max="5" width="10.140625" bestFit="1" customWidth="1"/>
    <col min="6" max="6" width="19.140625" customWidth="1"/>
    <col min="7" max="7" width="12.140625" customWidth="1"/>
    <col min="8" max="8" width="10.28515625" bestFit="1" customWidth="1"/>
    <col min="9" max="10" width="10.28515625" customWidth="1"/>
  </cols>
  <sheetData>
    <row r="1" spans="1:22" x14ac:dyDescent="0.25">
      <c r="A1" s="2" t="s">
        <v>481</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33" t="s">
        <v>33</v>
      </c>
      <c r="G3" s="2">
        <v>2027</v>
      </c>
      <c r="H3" s="2">
        <v>2028</v>
      </c>
      <c r="I3" s="2">
        <v>2029</v>
      </c>
      <c r="J3" s="34">
        <v>2030</v>
      </c>
    </row>
    <row r="4" spans="1:22" x14ac:dyDescent="0.25">
      <c r="A4" s="53" t="s">
        <v>5</v>
      </c>
      <c r="B4" s="70" t="s">
        <v>144</v>
      </c>
      <c r="C4" s="54" t="s">
        <v>6</v>
      </c>
      <c r="D4" s="53" t="s">
        <v>138</v>
      </c>
      <c r="E4" s="54"/>
      <c r="F4" s="55" t="e">
        <f>NPV('Tallgrunnlag inputdata'!$B$6,G4:J4)</f>
        <v>#REF!</v>
      </c>
      <c r="G4" s="56" t="e">
        <f>SUM('Tallgrunnlag inputdata'!#REF!)</f>
        <v>#REF!</v>
      </c>
      <c r="H4" s="56"/>
      <c r="I4" s="56"/>
      <c r="J4" s="57"/>
    </row>
    <row r="5" spans="1:22" x14ac:dyDescent="0.25">
      <c r="A5" s="4" t="s">
        <v>9</v>
      </c>
      <c r="B5" t="s">
        <v>139</v>
      </c>
      <c r="C5" s="4" t="s">
        <v>17</v>
      </c>
      <c r="D5" t="s">
        <v>140</v>
      </c>
      <c r="E5" s="4"/>
      <c r="F5" s="13">
        <f>NPV('Tallgrunnlag inputdata'!$B$6,G5:J5)</f>
        <v>35294.230769230766</v>
      </c>
      <c r="G5" s="19">
        <f>SUM('Tallgrunnlag inputdata'!B375:B377)</f>
        <v>36706</v>
      </c>
      <c r="H5" s="19"/>
      <c r="I5" s="19"/>
      <c r="J5" s="24"/>
    </row>
    <row r="6" spans="1:22" x14ac:dyDescent="0.25">
      <c r="A6" s="9" t="s">
        <v>9</v>
      </c>
      <c r="B6" s="7" t="s">
        <v>139</v>
      </c>
      <c r="C6" s="9" t="s">
        <v>13</v>
      </c>
      <c r="D6" s="7" t="s">
        <v>141</v>
      </c>
      <c r="E6" s="9"/>
      <c r="F6" s="26">
        <f>NPV('Tallgrunnlag inputdata'!$B$6,G6:J6)</f>
        <v>25134012.024819944</v>
      </c>
      <c r="G6" s="27">
        <v>0</v>
      </c>
      <c r="H6" s="27">
        <f>'Tallgrunnlag inputdata'!$B$383</f>
        <v>9419284.6983529422</v>
      </c>
      <c r="I6" s="27">
        <f>'Tallgrunnlag inputdata'!$B$383</f>
        <v>9419284.6983529422</v>
      </c>
      <c r="J6" s="28">
        <f>'Tallgrunnlag inputdata'!$B$383</f>
        <v>9419284.6983529422</v>
      </c>
    </row>
    <row r="7" spans="1:22" x14ac:dyDescent="0.25">
      <c r="A7" t="s">
        <v>11</v>
      </c>
      <c r="B7" t="s">
        <v>142</v>
      </c>
      <c r="C7" s="6" t="s">
        <v>23</v>
      </c>
      <c r="D7" t="s">
        <v>136</v>
      </c>
      <c r="F7" s="13" t="e">
        <f>NPV('Tallgrunnlag inputdata'!$B$6,G7:J7)</f>
        <v>#REF!</v>
      </c>
      <c r="G7" s="19" t="e">
        <f>'Tallgrunnlag inputdata'!#REF!</f>
        <v>#REF!</v>
      </c>
      <c r="H7" s="19"/>
      <c r="I7" s="19"/>
      <c r="J7" s="24"/>
    </row>
    <row r="8" spans="1:22" x14ac:dyDescent="0.25">
      <c r="A8" t="s">
        <v>11</v>
      </c>
      <c r="B8" t="s">
        <v>142</v>
      </c>
      <c r="C8" s="6" t="s">
        <v>24</v>
      </c>
      <c r="D8" t="s">
        <v>110</v>
      </c>
      <c r="F8" s="26" t="e">
        <f>NPV('Tallgrunnlag inputdata'!$B$6,G8:J8)</f>
        <v>#REF!</v>
      </c>
      <c r="G8" s="40">
        <v>0</v>
      </c>
      <c r="H8" s="40" t="e">
        <f>'Tallgrunnlag inputdata'!#REF!</f>
        <v>#REF!</v>
      </c>
      <c r="I8" s="40" t="e">
        <f>'Tallgrunnlag inputdata'!#REF!</f>
        <v>#REF!</v>
      </c>
      <c r="J8" s="28" t="e">
        <f>'Tallgrunnlag inputdata'!#REF!</f>
        <v>#REF!</v>
      </c>
    </row>
    <row r="9" spans="1:22" x14ac:dyDescent="0.25">
      <c r="A9" s="53" t="s">
        <v>111</v>
      </c>
      <c r="B9" s="53" t="s">
        <v>146</v>
      </c>
      <c r="C9" s="71" t="s">
        <v>112</v>
      </c>
      <c r="D9" s="53" t="s">
        <v>143</v>
      </c>
      <c r="E9" s="53"/>
      <c r="F9" s="55" t="e">
        <f>NPV('Tallgrunnlag inputdata'!$B$6,G9:J9)</f>
        <v>#REF!</v>
      </c>
      <c r="G9" s="56" t="e">
        <f>'Tallgrunnlag inputdata'!#REF!</f>
        <v>#REF!</v>
      </c>
      <c r="H9" s="56" t="e">
        <f>'Tallgrunnlag inputdata'!#REF!</f>
        <v>#REF!</v>
      </c>
      <c r="I9" s="56" t="e">
        <f>'Tallgrunnlag inputdata'!#REF!</f>
        <v>#REF!</v>
      </c>
      <c r="J9" s="57" t="e">
        <f>'Tallgrunnlag inputdata'!#REF!</f>
        <v>#REF!</v>
      </c>
    </row>
    <row r="10" spans="1:22" x14ac:dyDescent="0.25">
      <c r="A10" s="53" t="s">
        <v>972</v>
      </c>
      <c r="B10" s="53" t="s">
        <v>967</v>
      </c>
      <c r="C10" s="54" t="s">
        <v>973</v>
      </c>
      <c r="D10" s="53" t="s">
        <v>967</v>
      </c>
      <c r="E10" s="53"/>
      <c r="F10" s="55" t="e">
        <f>NPV('Tallgrunnlag inputdata'!$B$6,G10:J10)</f>
        <v>#REF!</v>
      </c>
      <c r="G10" s="99" t="e">
        <f>SUM(G4:G9)*'Tallgrunnlag inputdata'!$B$9</f>
        <v>#REF!</v>
      </c>
      <c r="H10" s="99" t="e">
        <f>SUM(H4:H9)*'Tallgrunnlag inputdata'!$B$9</f>
        <v>#REF!</v>
      </c>
      <c r="I10" s="99" t="e">
        <f>SUM(I4:I9)*'Tallgrunnlag inputdata'!$B$9</f>
        <v>#REF!</v>
      </c>
      <c r="J10" s="101" t="e">
        <f>SUM(J4:J9)*'Tallgrunnlag inputdata'!$B$9</f>
        <v>#REF!</v>
      </c>
    </row>
    <row r="12" spans="1:22" x14ac:dyDescent="0.25">
      <c r="E12" s="2" t="s">
        <v>31</v>
      </c>
      <c r="F12" s="29" t="e">
        <f>SUM(F4:F10)</f>
        <v>#REF!</v>
      </c>
    </row>
    <row r="13" spans="1:22" x14ac:dyDescent="0.25">
      <c r="B13" s="2"/>
      <c r="D13" t="s">
        <v>970</v>
      </c>
    </row>
    <row r="14" spans="1:22" x14ac:dyDescent="0.25">
      <c r="C14" s="20"/>
      <c r="D14" t="s">
        <v>971</v>
      </c>
    </row>
    <row r="17" spans="1:2" x14ac:dyDescent="0.25">
      <c r="A17" s="10" t="s">
        <v>69</v>
      </c>
    </row>
    <row r="18" spans="1:2" x14ac:dyDescent="0.25">
      <c r="A18" s="22" t="s">
        <v>74</v>
      </c>
    </row>
    <row r="19" spans="1:2" x14ac:dyDescent="0.25">
      <c r="A19" s="41" t="s">
        <v>75</v>
      </c>
    </row>
    <row r="20" spans="1:2" x14ac:dyDescent="0.25">
      <c r="A20" s="41" t="s">
        <v>76</v>
      </c>
    </row>
    <row r="21" spans="1:2" x14ac:dyDescent="0.25">
      <c r="A21" s="41" t="s">
        <v>77</v>
      </c>
    </row>
    <row r="22" spans="1:2" x14ac:dyDescent="0.25">
      <c r="A22" s="10"/>
    </row>
    <row r="23" spans="1:2" x14ac:dyDescent="0.25">
      <c r="A23" s="10" t="s">
        <v>70</v>
      </c>
    </row>
    <row r="24" spans="1:2" x14ac:dyDescent="0.25">
      <c r="A24" s="22" t="s">
        <v>78</v>
      </c>
    </row>
    <row r="25" spans="1:2" x14ac:dyDescent="0.25">
      <c r="A25" s="10" t="s">
        <v>71</v>
      </c>
    </row>
    <row r="26" spans="1:2" x14ac:dyDescent="0.25">
      <c r="A26" s="22" t="s">
        <v>79</v>
      </c>
    </row>
    <row r="27" spans="1:2" x14ac:dyDescent="0.25">
      <c r="A27" s="10" t="s">
        <v>18</v>
      </c>
    </row>
    <row r="28" spans="1:2" x14ac:dyDescent="0.25">
      <c r="A28" s="22" t="s">
        <v>83</v>
      </c>
    </row>
    <row r="29" spans="1:2" x14ac:dyDescent="0.25">
      <c r="A29" s="10" t="s">
        <v>72</v>
      </c>
    </row>
    <row r="30" spans="1:2" x14ac:dyDescent="0.25">
      <c r="A30" s="22" t="s">
        <v>80</v>
      </c>
    </row>
    <row r="31" spans="1:2" x14ac:dyDescent="0.25">
      <c r="A31" s="22" t="s">
        <v>81</v>
      </c>
    </row>
    <row r="32" spans="1:2" x14ac:dyDescent="0.25">
      <c r="A32" s="22" t="s">
        <v>82</v>
      </c>
    </row>
    <row r="33" spans="1:1" x14ac:dyDescent="0.25">
      <c r="A33" s="22"/>
    </row>
    <row r="34" spans="1:1" x14ac:dyDescent="0.25">
      <c r="A34" s="22"/>
    </row>
    <row r="35" spans="1:1" x14ac:dyDescent="0.25">
      <c r="A35" s="22"/>
    </row>
    <row r="36" spans="1:1" x14ac:dyDescent="0.25">
      <c r="A36" s="22"/>
    </row>
    <row r="37" spans="1:1" x14ac:dyDescent="0.25">
      <c r="A37" s="45"/>
    </row>
    <row r="38" spans="1:1" x14ac:dyDescent="0.25">
      <c r="A38" s="45"/>
    </row>
    <row r="39" spans="1:1" x14ac:dyDescent="0.25">
      <c r="A39" s="45"/>
    </row>
    <row r="40" spans="1:1" x14ac:dyDescent="0.25">
      <c r="A40" s="45"/>
    </row>
    <row r="41" spans="1:1" x14ac:dyDescent="0.25">
      <c r="A41" s="45"/>
    </row>
    <row r="42" spans="1:1" x14ac:dyDescent="0.25">
      <c r="A42" s="42"/>
    </row>
    <row r="43" spans="1:1" x14ac:dyDescent="0.25">
      <c r="A43" s="42"/>
    </row>
    <row r="44" spans="1:1" x14ac:dyDescent="0.25">
      <c r="A44" s="42"/>
    </row>
    <row r="45" spans="1:1" x14ac:dyDescent="0.25">
      <c r="A45" s="42"/>
    </row>
    <row r="46" spans="1:1" x14ac:dyDescent="0.25">
      <c r="A46" s="42"/>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2BA-A104-437D-9243-4AA06039AEAC}">
  <sheetPr>
    <tabColor theme="0" tint="-0.14999847407452621"/>
  </sheetPr>
  <dimension ref="A1:V41"/>
  <sheetViews>
    <sheetView showGridLines="0" zoomScaleNormal="100" workbookViewId="0">
      <selection activeCell="Q48" sqref="Q48"/>
    </sheetView>
  </sheetViews>
  <sheetFormatPr baseColWidth="10" defaultColWidth="9.140625" defaultRowHeight="15" x14ac:dyDescent="0.25"/>
  <cols>
    <col min="1" max="1" width="9.7109375" customWidth="1"/>
    <col min="2" max="2" width="53" bestFit="1" customWidth="1"/>
    <col min="3" max="3" width="10.140625" bestFit="1" customWidth="1"/>
    <col min="4" max="4" width="88.42578125" customWidth="1"/>
    <col min="5" max="5" width="10.140625" bestFit="1" customWidth="1"/>
    <col min="6" max="6" width="19.140625" customWidth="1"/>
    <col min="7" max="7" width="12.140625" customWidth="1"/>
    <col min="8" max="8" width="10.28515625" bestFit="1" customWidth="1"/>
    <col min="9" max="10" width="10.28515625" customWidth="1"/>
  </cols>
  <sheetData>
    <row r="1" spans="1:22" x14ac:dyDescent="0.25">
      <c r="A1" s="2" t="s">
        <v>981</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33" t="s">
        <v>33</v>
      </c>
      <c r="G3" s="2">
        <v>2027</v>
      </c>
      <c r="H3" s="2">
        <v>2028</v>
      </c>
      <c r="I3" s="2">
        <v>2029</v>
      </c>
      <c r="J3" s="34">
        <v>2030</v>
      </c>
    </row>
    <row r="4" spans="1:22" x14ac:dyDescent="0.25">
      <c r="A4" s="53" t="s">
        <v>5</v>
      </c>
      <c r="B4" t="s">
        <v>983</v>
      </c>
      <c r="C4" s="54" t="s">
        <v>6</v>
      </c>
      <c r="D4" t="s">
        <v>140</v>
      </c>
      <c r="E4" s="54"/>
      <c r="F4" s="55">
        <f>NPV('Tallgrunnlag inputdata'!$B$6,G4:J4)</f>
        <v>34191016.542466998</v>
      </c>
      <c r="G4" s="56">
        <f>'Tallgrunnlag inputdata'!$B$383</f>
        <v>9419284.6983529422</v>
      </c>
      <c r="H4" s="56">
        <f>'Tallgrunnlag inputdata'!$B$383</f>
        <v>9419284.6983529422</v>
      </c>
      <c r="I4" s="56">
        <f>'Tallgrunnlag inputdata'!$B$383</f>
        <v>9419284.6983529422</v>
      </c>
      <c r="J4" s="57">
        <f>'Tallgrunnlag inputdata'!$B$383</f>
        <v>9419284.6983529422</v>
      </c>
    </row>
    <row r="5" spans="1:22" x14ac:dyDescent="0.25">
      <c r="A5" s="54" t="s">
        <v>9</v>
      </c>
      <c r="B5" s="53" t="s">
        <v>967</v>
      </c>
      <c r="C5" s="54" t="s">
        <v>17</v>
      </c>
      <c r="D5" s="53" t="s">
        <v>967</v>
      </c>
      <c r="E5" s="54"/>
      <c r="F5" s="55">
        <f>NPV('Tallgrunnlag inputdata'!$B$6,G5:J5)</f>
        <v>3419101.6542467005</v>
      </c>
      <c r="G5" s="56">
        <f>G4*'Tallgrunnlag inputdata'!$B$9</f>
        <v>941928.46983529429</v>
      </c>
      <c r="H5" s="56">
        <f>H4*'Tallgrunnlag inputdata'!$B$9</f>
        <v>941928.46983529429</v>
      </c>
      <c r="I5" s="56">
        <f>I4*'Tallgrunnlag inputdata'!$B$9</f>
        <v>941928.46983529429</v>
      </c>
      <c r="J5" s="57">
        <f>J4*'Tallgrunnlag inputdata'!$B$9</f>
        <v>941928.46983529429</v>
      </c>
    </row>
    <row r="7" spans="1:22" x14ac:dyDescent="0.25">
      <c r="E7" s="2" t="s">
        <v>31</v>
      </c>
      <c r="F7" s="29">
        <f>SUM(F4:F5)</f>
        <v>37610118.196713701</v>
      </c>
    </row>
    <row r="8" spans="1:22" x14ac:dyDescent="0.25">
      <c r="B8" s="2"/>
      <c r="H8" s="90"/>
      <c r="I8" s="90"/>
      <c r="J8" s="90"/>
    </row>
    <row r="9" spans="1:22" x14ac:dyDescent="0.25">
      <c r="C9" s="20"/>
      <c r="H9" s="90" t="s">
        <v>988</v>
      </c>
      <c r="I9" s="90"/>
      <c r="J9" s="90"/>
    </row>
    <row r="10" spans="1:22" x14ac:dyDescent="0.25">
      <c r="H10" s="90" t="s">
        <v>989</v>
      </c>
      <c r="I10" s="90"/>
      <c r="J10" s="90"/>
    </row>
    <row r="11" spans="1:22" x14ac:dyDescent="0.25">
      <c r="H11" s="90" t="s">
        <v>990</v>
      </c>
      <c r="I11" s="90"/>
      <c r="J11" s="90"/>
    </row>
    <row r="12" spans="1:22" x14ac:dyDescent="0.25">
      <c r="A12" s="10" t="s">
        <v>69</v>
      </c>
      <c r="H12" s="90"/>
      <c r="I12" s="90"/>
      <c r="J12" s="90"/>
    </row>
    <row r="13" spans="1:22" x14ac:dyDescent="0.25">
      <c r="A13" s="22" t="s">
        <v>74</v>
      </c>
      <c r="H13" s="90"/>
      <c r="I13" s="90"/>
      <c r="J13" s="90"/>
    </row>
    <row r="14" spans="1:22" x14ac:dyDescent="0.25">
      <c r="A14" s="41" t="s">
        <v>75</v>
      </c>
    </row>
    <row r="15" spans="1:22" x14ac:dyDescent="0.25">
      <c r="A15" s="41" t="s">
        <v>76</v>
      </c>
    </row>
    <row r="16" spans="1:22" x14ac:dyDescent="0.25">
      <c r="A16" s="41" t="s">
        <v>77</v>
      </c>
    </row>
    <row r="17" spans="1:1" x14ac:dyDescent="0.25">
      <c r="A17" s="10"/>
    </row>
    <row r="18" spans="1:1" x14ac:dyDescent="0.25">
      <c r="A18" s="10" t="s">
        <v>70</v>
      </c>
    </row>
    <row r="19" spans="1:1" x14ac:dyDescent="0.25">
      <c r="A19" s="22" t="s">
        <v>78</v>
      </c>
    </row>
    <row r="20" spans="1:1" x14ac:dyDescent="0.25">
      <c r="A20" s="10" t="s">
        <v>71</v>
      </c>
    </row>
    <row r="21" spans="1:1" x14ac:dyDescent="0.25">
      <c r="A21" s="22" t="s">
        <v>79</v>
      </c>
    </row>
    <row r="22" spans="1:1" x14ac:dyDescent="0.25">
      <c r="A22" s="10" t="s">
        <v>18</v>
      </c>
    </row>
    <row r="23" spans="1:1" x14ac:dyDescent="0.25">
      <c r="A23" s="22" t="s">
        <v>83</v>
      </c>
    </row>
    <row r="24" spans="1:1" x14ac:dyDescent="0.25">
      <c r="A24" s="10" t="s">
        <v>72</v>
      </c>
    </row>
    <row r="25" spans="1:1" x14ac:dyDescent="0.25">
      <c r="A25" s="22" t="s">
        <v>80</v>
      </c>
    </row>
    <row r="26" spans="1:1" x14ac:dyDescent="0.25">
      <c r="A26" s="22" t="s">
        <v>81</v>
      </c>
    </row>
    <row r="27" spans="1:1" x14ac:dyDescent="0.25">
      <c r="A27" s="22" t="s">
        <v>82</v>
      </c>
    </row>
    <row r="28" spans="1:1" x14ac:dyDescent="0.25">
      <c r="A28" s="22"/>
    </row>
    <row r="29" spans="1:1" x14ac:dyDescent="0.25">
      <c r="A29" s="22"/>
    </row>
    <row r="30" spans="1:1" x14ac:dyDescent="0.25">
      <c r="A30" s="22"/>
    </row>
    <row r="31" spans="1:1" x14ac:dyDescent="0.25">
      <c r="A31" s="22"/>
    </row>
    <row r="32" spans="1:1" x14ac:dyDescent="0.25">
      <c r="A32" s="45"/>
    </row>
    <row r="33" spans="1:1" x14ac:dyDescent="0.25">
      <c r="A33" s="45"/>
    </row>
    <row r="34" spans="1:1" x14ac:dyDescent="0.25">
      <c r="A34" s="45"/>
    </row>
    <row r="35" spans="1:1" x14ac:dyDescent="0.25">
      <c r="A35" s="45"/>
    </row>
    <row r="36" spans="1:1" x14ac:dyDescent="0.25">
      <c r="A36" s="45"/>
    </row>
    <row r="37" spans="1:1" x14ac:dyDescent="0.25">
      <c r="A37" s="42"/>
    </row>
    <row r="38" spans="1:1" x14ac:dyDescent="0.25">
      <c r="A38" s="42"/>
    </row>
    <row r="39" spans="1:1" x14ac:dyDescent="0.25">
      <c r="A39" s="42"/>
    </row>
    <row r="40" spans="1:1" x14ac:dyDescent="0.25">
      <c r="A40" s="42"/>
    </row>
    <row r="41" spans="1:1" x14ac:dyDescent="0.25">
      <c r="A41" s="42"/>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302A-FD44-6244-8EF8-6F407D7AF774}">
  <sheetPr>
    <tabColor theme="0" tint="-0.14999847407452621"/>
  </sheetPr>
  <dimension ref="A1:H531"/>
  <sheetViews>
    <sheetView showGridLines="0" tabSelected="1" topLeftCell="A237" workbookViewId="0">
      <selection activeCell="H3" sqref="H3"/>
    </sheetView>
  </sheetViews>
  <sheetFormatPr baseColWidth="10" defaultColWidth="8.7109375" defaultRowHeight="15" x14ac:dyDescent="0.25"/>
  <cols>
    <col min="1" max="1" width="17.42578125" style="91" customWidth="1"/>
    <col min="2" max="4" width="9.140625" style="91" customWidth="1"/>
    <col min="5" max="16384" width="8.7109375" style="91"/>
  </cols>
  <sheetData>
    <row r="1" spans="1:8" ht="18.75" x14ac:dyDescent="0.3">
      <c r="A1" s="96" t="s">
        <v>954</v>
      </c>
    </row>
    <row r="2" spans="1:8" x14ac:dyDescent="0.25">
      <c r="G2" s="106"/>
      <c r="H2" s="106"/>
    </row>
    <row r="3" spans="1:8" x14ac:dyDescent="0.25">
      <c r="B3" s="95" t="s">
        <v>953</v>
      </c>
      <c r="H3" s="97">
        <f>1833/G7</f>
        <v>1.6642757268154496E-3</v>
      </c>
    </row>
    <row r="4" spans="1:8" x14ac:dyDescent="0.25">
      <c r="B4" s="95" t="s">
        <v>952</v>
      </c>
      <c r="C4" s="95" t="s">
        <v>955</v>
      </c>
    </row>
    <row r="5" spans="1:8" x14ac:dyDescent="0.25">
      <c r="A5" s="91" t="s">
        <v>951</v>
      </c>
      <c r="B5" s="95" t="s">
        <v>950</v>
      </c>
      <c r="C5" s="91" t="s">
        <v>949</v>
      </c>
    </row>
    <row r="6" spans="1:8" x14ac:dyDescent="0.25">
      <c r="A6" s="95" t="s">
        <v>948</v>
      </c>
      <c r="B6" s="94">
        <v>0</v>
      </c>
      <c r="C6" s="93">
        <f t="shared" ref="C6:C69" si="0">B6*$H$3</f>
        <v>0</v>
      </c>
    </row>
    <row r="7" spans="1:8" x14ac:dyDescent="0.25">
      <c r="A7" s="95" t="s">
        <v>947</v>
      </c>
      <c r="B7" s="94">
        <v>0</v>
      </c>
      <c r="C7" s="93">
        <f t="shared" si="0"/>
        <v>0</v>
      </c>
      <c r="G7" s="94">
        <f>SUM(B6:B365)</f>
        <v>1101380</v>
      </c>
      <c r="H7" s="91" t="s">
        <v>1015</v>
      </c>
    </row>
    <row r="8" spans="1:8" x14ac:dyDescent="0.25">
      <c r="A8" s="95" t="s">
        <v>946</v>
      </c>
      <c r="B8" s="94">
        <v>0</v>
      </c>
      <c r="C8" s="93">
        <f t="shared" si="0"/>
        <v>0</v>
      </c>
      <c r="G8" s="91">
        <f>G7*0.06</f>
        <v>66082.8</v>
      </c>
      <c r="H8" s="91" t="s">
        <v>1016</v>
      </c>
    </row>
    <row r="9" spans="1:8" x14ac:dyDescent="0.25">
      <c r="A9" s="95" t="s">
        <v>945</v>
      </c>
      <c r="B9" s="94">
        <v>35</v>
      </c>
      <c r="C9" s="93">
        <f t="shared" si="0"/>
        <v>5.8249650438540738E-2</v>
      </c>
      <c r="G9" s="91">
        <f>G8/18</f>
        <v>3671.2666666666669</v>
      </c>
      <c r="H9" s="91" t="s">
        <v>1017</v>
      </c>
    </row>
    <row r="10" spans="1:8" x14ac:dyDescent="0.25">
      <c r="A10" s="95" t="s">
        <v>944</v>
      </c>
      <c r="B10" s="94">
        <v>59</v>
      </c>
      <c r="C10" s="93">
        <f t="shared" si="0"/>
        <v>9.8192267882111522E-2</v>
      </c>
      <c r="G10" s="103">
        <f>G9/G7</f>
        <v>3.3333333333333335E-3</v>
      </c>
      <c r="H10" s="91" t="s">
        <v>1018</v>
      </c>
    </row>
    <row r="11" spans="1:8" x14ac:dyDescent="0.25">
      <c r="A11" s="95" t="s">
        <v>943</v>
      </c>
      <c r="B11" s="94">
        <v>67</v>
      </c>
      <c r="C11" s="93">
        <f t="shared" si="0"/>
        <v>0.11150647369663512</v>
      </c>
      <c r="G11" s="105">
        <f>G10*50%</f>
        <v>1.6666666666666668E-3</v>
      </c>
      <c r="H11" s="91" t="s">
        <v>1019</v>
      </c>
    </row>
    <row r="12" spans="1:8" x14ac:dyDescent="0.25">
      <c r="A12" s="95" t="s">
        <v>942</v>
      </c>
      <c r="B12" s="94">
        <v>81</v>
      </c>
      <c r="C12" s="93">
        <f t="shared" si="0"/>
        <v>0.13480633387205143</v>
      </c>
    </row>
    <row r="13" spans="1:8" x14ac:dyDescent="0.25">
      <c r="A13" s="95" t="s">
        <v>941</v>
      </c>
      <c r="B13" s="94">
        <v>86</v>
      </c>
      <c r="C13" s="93">
        <f t="shared" si="0"/>
        <v>0.14312771250612866</v>
      </c>
    </row>
    <row r="14" spans="1:8" x14ac:dyDescent="0.25">
      <c r="A14" s="95" t="s">
        <v>940</v>
      </c>
      <c r="B14" s="94">
        <v>93</v>
      </c>
      <c r="C14" s="93">
        <f t="shared" si="0"/>
        <v>0.15477764259383681</v>
      </c>
    </row>
    <row r="15" spans="1:8" x14ac:dyDescent="0.25">
      <c r="A15" s="95" t="s">
        <v>939</v>
      </c>
      <c r="B15" s="94">
        <v>100</v>
      </c>
      <c r="C15" s="93">
        <f t="shared" si="0"/>
        <v>0.16642757268154496</v>
      </c>
    </row>
    <row r="16" spans="1:8" x14ac:dyDescent="0.25">
      <c r="A16" s="95" t="s">
        <v>938</v>
      </c>
      <c r="B16" s="94">
        <v>101</v>
      </c>
      <c r="C16" s="93">
        <f t="shared" si="0"/>
        <v>0.16809184840836042</v>
      </c>
    </row>
    <row r="17" spans="1:3" x14ac:dyDescent="0.25">
      <c r="A17" s="95" t="s">
        <v>937</v>
      </c>
      <c r="B17" s="94">
        <v>105</v>
      </c>
      <c r="C17" s="93">
        <f t="shared" si="0"/>
        <v>0.17474895131562221</v>
      </c>
    </row>
    <row r="18" spans="1:3" x14ac:dyDescent="0.25">
      <c r="A18" s="95" t="s">
        <v>936</v>
      </c>
      <c r="B18" s="94">
        <v>106</v>
      </c>
      <c r="C18" s="93">
        <f t="shared" si="0"/>
        <v>0.17641322704243767</v>
      </c>
    </row>
    <row r="19" spans="1:3" x14ac:dyDescent="0.25">
      <c r="A19" s="95" t="s">
        <v>935</v>
      </c>
      <c r="B19" s="94">
        <v>106</v>
      </c>
      <c r="C19" s="93">
        <f t="shared" si="0"/>
        <v>0.17641322704243767</v>
      </c>
    </row>
    <row r="20" spans="1:3" x14ac:dyDescent="0.25">
      <c r="A20" s="95" t="s">
        <v>934</v>
      </c>
      <c r="B20" s="94">
        <v>107</v>
      </c>
      <c r="C20" s="93">
        <f t="shared" si="0"/>
        <v>0.1780775027692531</v>
      </c>
    </row>
    <row r="21" spans="1:3" x14ac:dyDescent="0.25">
      <c r="A21" s="95" t="s">
        <v>933</v>
      </c>
      <c r="B21" s="94">
        <v>113</v>
      </c>
      <c r="C21" s="93">
        <f t="shared" si="0"/>
        <v>0.18806315713014582</v>
      </c>
    </row>
    <row r="22" spans="1:3" x14ac:dyDescent="0.25">
      <c r="A22" s="95" t="s">
        <v>932</v>
      </c>
      <c r="B22" s="94">
        <v>115</v>
      </c>
      <c r="C22" s="93">
        <f t="shared" si="0"/>
        <v>0.19139170858377672</v>
      </c>
    </row>
    <row r="23" spans="1:3" x14ac:dyDescent="0.25">
      <c r="A23" s="95" t="s">
        <v>931</v>
      </c>
      <c r="B23" s="94">
        <v>121</v>
      </c>
      <c r="C23" s="93">
        <f t="shared" si="0"/>
        <v>0.2013773629446694</v>
      </c>
    </row>
    <row r="24" spans="1:3" x14ac:dyDescent="0.25">
      <c r="A24" s="95" t="s">
        <v>930</v>
      </c>
      <c r="B24" s="94">
        <v>130</v>
      </c>
      <c r="C24" s="93">
        <f t="shared" si="0"/>
        <v>0.21635584448600845</v>
      </c>
    </row>
    <row r="25" spans="1:3" x14ac:dyDescent="0.25">
      <c r="A25" s="95" t="s">
        <v>929</v>
      </c>
      <c r="B25" s="94">
        <v>136</v>
      </c>
      <c r="C25" s="93">
        <f t="shared" si="0"/>
        <v>0.22634149884690113</v>
      </c>
    </row>
    <row r="26" spans="1:3" x14ac:dyDescent="0.25">
      <c r="A26" s="95" t="s">
        <v>928</v>
      </c>
      <c r="B26" s="94">
        <v>143</v>
      </c>
      <c r="C26" s="93">
        <f t="shared" si="0"/>
        <v>0.23799142893460928</v>
      </c>
    </row>
    <row r="27" spans="1:3" x14ac:dyDescent="0.25">
      <c r="A27" s="95" t="s">
        <v>927</v>
      </c>
      <c r="B27" s="94">
        <v>144</v>
      </c>
      <c r="C27" s="93">
        <f t="shared" si="0"/>
        <v>0.23965570466142475</v>
      </c>
    </row>
    <row r="28" spans="1:3" x14ac:dyDescent="0.25">
      <c r="A28" s="95" t="s">
        <v>926</v>
      </c>
      <c r="B28" s="94">
        <v>147</v>
      </c>
      <c r="C28" s="93">
        <f t="shared" si="0"/>
        <v>0.2446485318418711</v>
      </c>
    </row>
    <row r="29" spans="1:3" x14ac:dyDescent="0.25">
      <c r="A29" s="95" t="s">
        <v>925</v>
      </c>
      <c r="B29" s="94">
        <v>155</v>
      </c>
      <c r="C29" s="93">
        <f t="shared" si="0"/>
        <v>0.25796273765639471</v>
      </c>
    </row>
    <row r="30" spans="1:3" x14ac:dyDescent="0.25">
      <c r="A30" s="95" t="s">
        <v>924</v>
      </c>
      <c r="B30" s="94">
        <v>155</v>
      </c>
      <c r="C30" s="93">
        <f t="shared" si="0"/>
        <v>0.25796273765639471</v>
      </c>
    </row>
    <row r="31" spans="1:3" x14ac:dyDescent="0.25">
      <c r="A31" s="95" t="s">
        <v>923</v>
      </c>
      <c r="B31" s="94">
        <v>160</v>
      </c>
      <c r="C31" s="93">
        <f t="shared" si="0"/>
        <v>0.26628411629047194</v>
      </c>
    </row>
    <row r="32" spans="1:3" x14ac:dyDescent="0.25">
      <c r="A32" s="95" t="s">
        <v>922</v>
      </c>
      <c r="B32" s="94">
        <v>162</v>
      </c>
      <c r="C32" s="93">
        <f t="shared" si="0"/>
        <v>0.26961266774410286</v>
      </c>
    </row>
    <row r="33" spans="1:3" x14ac:dyDescent="0.25">
      <c r="A33" s="95" t="s">
        <v>921</v>
      </c>
      <c r="B33" s="94">
        <v>163</v>
      </c>
      <c r="C33" s="93">
        <f t="shared" si="0"/>
        <v>0.2712769434709183</v>
      </c>
    </row>
    <row r="34" spans="1:3" x14ac:dyDescent="0.25">
      <c r="A34" s="95" t="s">
        <v>920</v>
      </c>
      <c r="B34" s="94">
        <v>167</v>
      </c>
      <c r="C34" s="93">
        <f t="shared" si="0"/>
        <v>0.27793404637818009</v>
      </c>
    </row>
    <row r="35" spans="1:3" x14ac:dyDescent="0.25">
      <c r="A35" s="95" t="s">
        <v>919</v>
      </c>
      <c r="B35" s="94">
        <v>167</v>
      </c>
      <c r="C35" s="93">
        <f t="shared" si="0"/>
        <v>0.27793404637818009</v>
      </c>
    </row>
    <row r="36" spans="1:3" x14ac:dyDescent="0.25">
      <c r="A36" s="95" t="s">
        <v>918</v>
      </c>
      <c r="B36" s="94">
        <v>181</v>
      </c>
      <c r="C36" s="93">
        <f t="shared" si="0"/>
        <v>0.30123390655359639</v>
      </c>
    </row>
    <row r="37" spans="1:3" x14ac:dyDescent="0.25">
      <c r="A37" s="95" t="s">
        <v>917</v>
      </c>
      <c r="B37" s="94">
        <v>182</v>
      </c>
      <c r="C37" s="93">
        <f t="shared" si="0"/>
        <v>0.30289818228041182</v>
      </c>
    </row>
    <row r="38" spans="1:3" x14ac:dyDescent="0.25">
      <c r="A38" s="95" t="s">
        <v>916</v>
      </c>
      <c r="B38" s="94">
        <v>182</v>
      </c>
      <c r="C38" s="93">
        <f t="shared" si="0"/>
        <v>0.30289818228041182</v>
      </c>
    </row>
    <row r="39" spans="1:3" x14ac:dyDescent="0.25">
      <c r="A39" s="95" t="s">
        <v>915</v>
      </c>
      <c r="B39" s="94">
        <v>183</v>
      </c>
      <c r="C39" s="93">
        <f t="shared" si="0"/>
        <v>0.30456245800722725</v>
      </c>
    </row>
    <row r="40" spans="1:3" x14ac:dyDescent="0.25">
      <c r="A40" s="95" t="s">
        <v>914</v>
      </c>
      <c r="B40" s="94">
        <v>184</v>
      </c>
      <c r="C40" s="93">
        <f t="shared" si="0"/>
        <v>0.30622673373404274</v>
      </c>
    </row>
    <row r="41" spans="1:3" x14ac:dyDescent="0.25">
      <c r="A41" s="95" t="s">
        <v>913</v>
      </c>
      <c r="B41" s="94">
        <v>184</v>
      </c>
      <c r="C41" s="93">
        <f t="shared" si="0"/>
        <v>0.30622673373404274</v>
      </c>
    </row>
    <row r="42" spans="1:3" x14ac:dyDescent="0.25">
      <c r="A42" s="95" t="s">
        <v>912</v>
      </c>
      <c r="B42" s="94">
        <v>185</v>
      </c>
      <c r="C42" s="93">
        <f t="shared" si="0"/>
        <v>0.30789100946085818</v>
      </c>
    </row>
    <row r="43" spans="1:3" x14ac:dyDescent="0.25">
      <c r="A43" s="95" t="s">
        <v>911</v>
      </c>
      <c r="B43" s="94">
        <v>189</v>
      </c>
      <c r="C43" s="93">
        <f t="shared" si="0"/>
        <v>0.31454811236811997</v>
      </c>
    </row>
    <row r="44" spans="1:3" x14ac:dyDescent="0.25">
      <c r="A44" s="95" t="s">
        <v>910</v>
      </c>
      <c r="B44" s="94">
        <v>193</v>
      </c>
      <c r="C44" s="93">
        <f t="shared" si="0"/>
        <v>0.32120521527538176</v>
      </c>
    </row>
    <row r="45" spans="1:3" x14ac:dyDescent="0.25">
      <c r="A45" s="95" t="s">
        <v>909</v>
      </c>
      <c r="B45" s="94">
        <v>194</v>
      </c>
      <c r="C45" s="93">
        <f t="shared" si="0"/>
        <v>0.32286949100219725</v>
      </c>
    </row>
    <row r="46" spans="1:3" x14ac:dyDescent="0.25">
      <c r="A46" s="95" t="s">
        <v>908</v>
      </c>
      <c r="B46" s="94">
        <v>195</v>
      </c>
      <c r="C46" s="93">
        <f t="shared" si="0"/>
        <v>0.32453376672901268</v>
      </c>
    </row>
    <row r="47" spans="1:3" x14ac:dyDescent="0.25">
      <c r="A47" s="95" t="s">
        <v>907</v>
      </c>
      <c r="B47" s="94">
        <v>197</v>
      </c>
      <c r="C47" s="93">
        <f t="shared" si="0"/>
        <v>0.32786231818264355</v>
      </c>
    </row>
    <row r="48" spans="1:3" x14ac:dyDescent="0.25">
      <c r="A48" s="95" t="s">
        <v>906</v>
      </c>
      <c r="B48" s="94">
        <v>198</v>
      </c>
      <c r="C48" s="93">
        <f t="shared" si="0"/>
        <v>0.32952659390945904</v>
      </c>
    </row>
    <row r="49" spans="1:3" x14ac:dyDescent="0.25">
      <c r="A49" s="95" t="s">
        <v>905</v>
      </c>
      <c r="B49" s="94">
        <v>199</v>
      </c>
      <c r="C49" s="93">
        <f t="shared" si="0"/>
        <v>0.33119086963627448</v>
      </c>
    </row>
    <row r="50" spans="1:3" x14ac:dyDescent="0.25">
      <c r="A50" s="95" t="s">
        <v>904</v>
      </c>
      <c r="B50" s="94">
        <v>201</v>
      </c>
      <c r="C50" s="93">
        <f t="shared" si="0"/>
        <v>0.3345194210899054</v>
      </c>
    </row>
    <row r="51" spans="1:3" x14ac:dyDescent="0.25">
      <c r="A51" s="95" t="s">
        <v>903</v>
      </c>
      <c r="B51" s="94">
        <v>210</v>
      </c>
      <c r="C51" s="93">
        <f t="shared" si="0"/>
        <v>0.34949790263124442</v>
      </c>
    </row>
    <row r="52" spans="1:3" x14ac:dyDescent="0.25">
      <c r="A52" s="95" t="s">
        <v>902</v>
      </c>
      <c r="B52" s="94">
        <v>211</v>
      </c>
      <c r="C52" s="93">
        <f t="shared" si="0"/>
        <v>0.35116217835805985</v>
      </c>
    </row>
    <row r="53" spans="1:3" x14ac:dyDescent="0.25">
      <c r="A53" s="95" t="s">
        <v>901</v>
      </c>
      <c r="B53" s="94">
        <v>224</v>
      </c>
      <c r="C53" s="93">
        <f t="shared" si="0"/>
        <v>0.37279776280666072</v>
      </c>
    </row>
    <row r="54" spans="1:3" x14ac:dyDescent="0.25">
      <c r="A54" s="95" t="s">
        <v>900</v>
      </c>
      <c r="B54" s="94">
        <v>227</v>
      </c>
      <c r="C54" s="93">
        <f t="shared" si="0"/>
        <v>0.37779058998710707</v>
      </c>
    </row>
    <row r="55" spans="1:3" x14ac:dyDescent="0.25">
      <c r="A55" s="95" t="s">
        <v>899</v>
      </c>
      <c r="B55" s="94">
        <v>229</v>
      </c>
      <c r="C55" s="93">
        <f t="shared" si="0"/>
        <v>0.38111914144073794</v>
      </c>
    </row>
    <row r="56" spans="1:3" x14ac:dyDescent="0.25">
      <c r="A56" s="95" t="s">
        <v>898</v>
      </c>
      <c r="B56" s="94">
        <v>230</v>
      </c>
      <c r="C56" s="93">
        <f t="shared" si="0"/>
        <v>0.38278341716755343</v>
      </c>
    </row>
    <row r="57" spans="1:3" x14ac:dyDescent="0.25">
      <c r="A57" s="95" t="s">
        <v>897</v>
      </c>
      <c r="B57" s="94">
        <v>232</v>
      </c>
      <c r="C57" s="93">
        <f t="shared" si="0"/>
        <v>0.3861119686211843</v>
      </c>
    </row>
    <row r="58" spans="1:3" x14ac:dyDescent="0.25">
      <c r="A58" s="95" t="s">
        <v>896</v>
      </c>
      <c r="B58" s="94">
        <v>235</v>
      </c>
      <c r="C58" s="93">
        <f t="shared" si="0"/>
        <v>0.39110479580163066</v>
      </c>
    </row>
    <row r="59" spans="1:3" x14ac:dyDescent="0.25">
      <c r="A59" s="95" t="s">
        <v>895</v>
      </c>
      <c r="B59" s="94">
        <v>240</v>
      </c>
      <c r="C59" s="93">
        <f t="shared" si="0"/>
        <v>0.39942617443570794</v>
      </c>
    </row>
    <row r="60" spans="1:3" x14ac:dyDescent="0.25">
      <c r="A60" s="95" t="s">
        <v>894</v>
      </c>
      <c r="B60" s="94">
        <v>244</v>
      </c>
      <c r="C60" s="93">
        <f t="shared" si="0"/>
        <v>0.40608327734296973</v>
      </c>
    </row>
    <row r="61" spans="1:3" x14ac:dyDescent="0.25">
      <c r="A61" s="95" t="s">
        <v>893</v>
      </c>
      <c r="B61" s="94">
        <v>256</v>
      </c>
      <c r="C61" s="93">
        <f t="shared" si="0"/>
        <v>0.4260545860647551</v>
      </c>
    </row>
    <row r="62" spans="1:3" x14ac:dyDescent="0.25">
      <c r="A62" s="95" t="s">
        <v>892</v>
      </c>
      <c r="B62" s="94">
        <v>268</v>
      </c>
      <c r="C62" s="93">
        <f t="shared" si="0"/>
        <v>0.44602589478654048</v>
      </c>
    </row>
    <row r="63" spans="1:3" x14ac:dyDescent="0.25">
      <c r="A63" s="95" t="s">
        <v>891</v>
      </c>
      <c r="B63" s="94">
        <v>273</v>
      </c>
      <c r="C63" s="93">
        <f t="shared" si="0"/>
        <v>0.45434727342061776</v>
      </c>
    </row>
    <row r="64" spans="1:3" x14ac:dyDescent="0.25">
      <c r="A64" s="95" t="s">
        <v>890</v>
      </c>
      <c r="B64" s="94">
        <v>274</v>
      </c>
      <c r="C64" s="93">
        <f t="shared" si="0"/>
        <v>0.45601154914743319</v>
      </c>
    </row>
    <row r="65" spans="1:3" x14ac:dyDescent="0.25">
      <c r="A65" s="95" t="s">
        <v>889</v>
      </c>
      <c r="B65" s="94">
        <v>274</v>
      </c>
      <c r="C65" s="93">
        <f t="shared" si="0"/>
        <v>0.45601154914743319</v>
      </c>
    </row>
    <row r="66" spans="1:3" x14ac:dyDescent="0.25">
      <c r="A66" s="95" t="s">
        <v>888</v>
      </c>
      <c r="B66" s="94">
        <v>277</v>
      </c>
      <c r="C66" s="93">
        <f t="shared" si="0"/>
        <v>0.46100437632787955</v>
      </c>
    </row>
    <row r="67" spans="1:3" x14ac:dyDescent="0.25">
      <c r="A67" s="95" t="s">
        <v>887</v>
      </c>
      <c r="B67" s="94">
        <v>281</v>
      </c>
      <c r="C67" s="93">
        <f t="shared" si="0"/>
        <v>0.46766147923514134</v>
      </c>
    </row>
    <row r="68" spans="1:3" x14ac:dyDescent="0.25">
      <c r="A68" s="95" t="s">
        <v>886</v>
      </c>
      <c r="B68" s="94">
        <v>282</v>
      </c>
      <c r="C68" s="93">
        <f t="shared" si="0"/>
        <v>0.46932575496195678</v>
      </c>
    </row>
    <row r="69" spans="1:3" x14ac:dyDescent="0.25">
      <c r="A69" s="95" t="s">
        <v>885</v>
      </c>
      <c r="B69" s="94">
        <v>285</v>
      </c>
      <c r="C69" s="93">
        <f t="shared" si="0"/>
        <v>0.47431858214240313</v>
      </c>
    </row>
    <row r="70" spans="1:3" x14ac:dyDescent="0.25">
      <c r="A70" s="95" t="s">
        <v>884</v>
      </c>
      <c r="B70" s="94">
        <v>292</v>
      </c>
      <c r="C70" s="93">
        <f t="shared" ref="C70:C133" si="1">B70*$H$3</f>
        <v>0.48596851223011128</v>
      </c>
    </row>
    <row r="71" spans="1:3" x14ac:dyDescent="0.25">
      <c r="A71" s="95" t="s">
        <v>883</v>
      </c>
      <c r="B71" s="94">
        <v>298</v>
      </c>
      <c r="C71" s="93">
        <f t="shared" si="1"/>
        <v>0.495954166591004</v>
      </c>
    </row>
    <row r="72" spans="1:3" x14ac:dyDescent="0.25">
      <c r="A72" s="95" t="s">
        <v>882</v>
      </c>
      <c r="B72" s="94">
        <v>307</v>
      </c>
      <c r="C72" s="93">
        <f t="shared" si="1"/>
        <v>0.51093264813234307</v>
      </c>
    </row>
    <row r="73" spans="1:3" x14ac:dyDescent="0.25">
      <c r="A73" s="95" t="s">
        <v>881</v>
      </c>
      <c r="B73" s="94">
        <v>307</v>
      </c>
      <c r="C73" s="93">
        <f t="shared" si="1"/>
        <v>0.51093264813234307</v>
      </c>
    </row>
    <row r="74" spans="1:3" x14ac:dyDescent="0.25">
      <c r="A74" s="95" t="s">
        <v>880</v>
      </c>
      <c r="B74" s="94">
        <v>308</v>
      </c>
      <c r="C74" s="93">
        <f t="shared" si="1"/>
        <v>0.51259692385915845</v>
      </c>
    </row>
    <row r="75" spans="1:3" x14ac:dyDescent="0.25">
      <c r="A75" s="95" t="s">
        <v>879</v>
      </c>
      <c r="B75" s="94">
        <v>316</v>
      </c>
      <c r="C75" s="93">
        <f t="shared" si="1"/>
        <v>0.52591112967368203</v>
      </c>
    </row>
    <row r="76" spans="1:3" x14ac:dyDescent="0.25">
      <c r="A76" s="95" t="s">
        <v>878</v>
      </c>
      <c r="B76" s="94">
        <v>316</v>
      </c>
      <c r="C76" s="93">
        <f t="shared" si="1"/>
        <v>0.52591112967368203</v>
      </c>
    </row>
    <row r="77" spans="1:3" x14ac:dyDescent="0.25">
      <c r="A77" s="95" t="s">
        <v>877</v>
      </c>
      <c r="B77" s="94">
        <v>330</v>
      </c>
      <c r="C77" s="93">
        <f t="shared" si="1"/>
        <v>0.54921098984909833</v>
      </c>
    </row>
    <row r="78" spans="1:3" x14ac:dyDescent="0.25">
      <c r="A78" s="95" t="s">
        <v>876</v>
      </c>
      <c r="B78" s="94">
        <v>331</v>
      </c>
      <c r="C78" s="93">
        <f t="shared" si="1"/>
        <v>0.55087526557591382</v>
      </c>
    </row>
    <row r="79" spans="1:3" x14ac:dyDescent="0.25">
      <c r="A79" s="95" t="s">
        <v>875</v>
      </c>
      <c r="B79" s="94">
        <v>332</v>
      </c>
      <c r="C79" s="93">
        <f t="shared" si="1"/>
        <v>0.55253954130272931</v>
      </c>
    </row>
    <row r="80" spans="1:3" x14ac:dyDescent="0.25">
      <c r="A80" s="95" t="s">
        <v>874</v>
      </c>
      <c r="B80" s="94">
        <v>337</v>
      </c>
      <c r="C80" s="93">
        <f t="shared" si="1"/>
        <v>0.56086091993680653</v>
      </c>
    </row>
    <row r="81" spans="1:3" x14ac:dyDescent="0.25">
      <c r="A81" s="95" t="s">
        <v>873</v>
      </c>
      <c r="B81" s="94">
        <v>341</v>
      </c>
      <c r="C81" s="93">
        <f t="shared" si="1"/>
        <v>0.56751802284406827</v>
      </c>
    </row>
    <row r="82" spans="1:3" x14ac:dyDescent="0.25">
      <c r="A82" s="95" t="s">
        <v>872</v>
      </c>
      <c r="B82" s="94">
        <v>344</v>
      </c>
      <c r="C82" s="93">
        <f t="shared" si="1"/>
        <v>0.57251085002451463</v>
      </c>
    </row>
    <row r="83" spans="1:3" x14ac:dyDescent="0.25">
      <c r="A83" s="95" t="s">
        <v>871</v>
      </c>
      <c r="B83" s="94">
        <v>348</v>
      </c>
      <c r="C83" s="93">
        <f t="shared" si="1"/>
        <v>0.57916795293177648</v>
      </c>
    </row>
    <row r="84" spans="1:3" x14ac:dyDescent="0.25">
      <c r="A84" s="95" t="s">
        <v>870</v>
      </c>
      <c r="B84" s="94">
        <v>351</v>
      </c>
      <c r="C84" s="93">
        <f t="shared" si="1"/>
        <v>0.58416078011222283</v>
      </c>
    </row>
    <row r="85" spans="1:3" x14ac:dyDescent="0.25">
      <c r="A85" s="95" t="s">
        <v>869</v>
      </c>
      <c r="B85" s="94">
        <v>352</v>
      </c>
      <c r="C85" s="93">
        <f t="shared" si="1"/>
        <v>0.58582505583903832</v>
      </c>
    </row>
    <row r="86" spans="1:3" x14ac:dyDescent="0.25">
      <c r="A86" s="95" t="s">
        <v>868</v>
      </c>
      <c r="B86" s="94">
        <v>355</v>
      </c>
      <c r="C86" s="93">
        <f t="shared" si="1"/>
        <v>0.59081788301948457</v>
      </c>
    </row>
    <row r="87" spans="1:3" x14ac:dyDescent="0.25">
      <c r="A87" s="95" t="s">
        <v>867</v>
      </c>
      <c r="B87" s="94">
        <v>358</v>
      </c>
      <c r="C87" s="93">
        <f t="shared" si="1"/>
        <v>0.59581071019993093</v>
      </c>
    </row>
    <row r="88" spans="1:3" x14ac:dyDescent="0.25">
      <c r="A88" s="95" t="s">
        <v>866</v>
      </c>
      <c r="B88" s="94">
        <v>364</v>
      </c>
      <c r="C88" s="93">
        <f t="shared" si="1"/>
        <v>0.60579636456082364</v>
      </c>
    </row>
    <row r="89" spans="1:3" x14ac:dyDescent="0.25">
      <c r="A89" s="95" t="s">
        <v>865</v>
      </c>
      <c r="B89" s="94">
        <v>364</v>
      </c>
      <c r="C89" s="93">
        <f t="shared" si="1"/>
        <v>0.60579636456082364</v>
      </c>
    </row>
    <row r="90" spans="1:3" x14ac:dyDescent="0.25">
      <c r="A90" s="95" t="s">
        <v>864</v>
      </c>
      <c r="B90" s="94">
        <v>364</v>
      </c>
      <c r="C90" s="93">
        <f t="shared" si="1"/>
        <v>0.60579636456082364</v>
      </c>
    </row>
    <row r="91" spans="1:3" x14ac:dyDescent="0.25">
      <c r="A91" s="95" t="s">
        <v>863</v>
      </c>
      <c r="B91" s="94">
        <v>375</v>
      </c>
      <c r="C91" s="93">
        <f t="shared" si="1"/>
        <v>0.62410339755579358</v>
      </c>
    </row>
    <row r="92" spans="1:3" x14ac:dyDescent="0.25">
      <c r="A92" s="95" t="s">
        <v>862</v>
      </c>
      <c r="B92" s="94">
        <v>375</v>
      </c>
      <c r="C92" s="93">
        <f t="shared" si="1"/>
        <v>0.62410339755579358</v>
      </c>
    </row>
    <row r="93" spans="1:3" x14ac:dyDescent="0.25">
      <c r="A93" s="95" t="s">
        <v>861</v>
      </c>
      <c r="B93" s="94">
        <v>382</v>
      </c>
      <c r="C93" s="93">
        <f t="shared" si="1"/>
        <v>0.63575332764350179</v>
      </c>
    </row>
    <row r="94" spans="1:3" x14ac:dyDescent="0.25">
      <c r="A94" s="95" t="s">
        <v>860</v>
      </c>
      <c r="B94" s="94">
        <v>388</v>
      </c>
      <c r="C94" s="93">
        <f t="shared" si="1"/>
        <v>0.6457389820043945</v>
      </c>
    </row>
    <row r="95" spans="1:3" x14ac:dyDescent="0.25">
      <c r="A95" s="95" t="s">
        <v>859</v>
      </c>
      <c r="B95" s="94">
        <v>391</v>
      </c>
      <c r="C95" s="93">
        <f t="shared" si="1"/>
        <v>0.65073180918484075</v>
      </c>
    </row>
    <row r="96" spans="1:3" x14ac:dyDescent="0.25">
      <c r="A96" s="95" t="s">
        <v>858</v>
      </c>
      <c r="B96" s="94">
        <v>393</v>
      </c>
      <c r="C96" s="93">
        <f t="shared" si="1"/>
        <v>0.65406036063847173</v>
      </c>
    </row>
    <row r="97" spans="1:3" x14ac:dyDescent="0.25">
      <c r="A97" s="95" t="s">
        <v>857</v>
      </c>
      <c r="B97" s="94">
        <v>398</v>
      </c>
      <c r="C97" s="93">
        <f t="shared" si="1"/>
        <v>0.66238173927254895</v>
      </c>
    </row>
    <row r="98" spans="1:3" x14ac:dyDescent="0.25">
      <c r="A98" s="95" t="s">
        <v>856</v>
      </c>
      <c r="B98" s="94">
        <v>399</v>
      </c>
      <c r="C98" s="93">
        <f t="shared" si="1"/>
        <v>0.66404601499936444</v>
      </c>
    </row>
    <row r="99" spans="1:3" x14ac:dyDescent="0.25">
      <c r="A99" s="95" t="s">
        <v>855</v>
      </c>
      <c r="B99" s="94">
        <v>401</v>
      </c>
      <c r="C99" s="93">
        <f t="shared" si="1"/>
        <v>0.66737456645299531</v>
      </c>
    </row>
    <row r="100" spans="1:3" x14ac:dyDescent="0.25">
      <c r="A100" s="95" t="s">
        <v>854</v>
      </c>
      <c r="B100" s="94">
        <v>406</v>
      </c>
      <c r="C100" s="93">
        <f t="shared" si="1"/>
        <v>0.67569594508707254</v>
      </c>
    </row>
    <row r="101" spans="1:3" x14ac:dyDescent="0.25">
      <c r="A101" s="95" t="s">
        <v>853</v>
      </c>
      <c r="B101" s="94">
        <v>406</v>
      </c>
      <c r="C101" s="93">
        <f t="shared" si="1"/>
        <v>0.67569594508707254</v>
      </c>
    </row>
    <row r="102" spans="1:3" x14ac:dyDescent="0.25">
      <c r="A102" s="95" t="s">
        <v>852</v>
      </c>
      <c r="B102" s="94">
        <v>406</v>
      </c>
      <c r="C102" s="93">
        <f t="shared" si="1"/>
        <v>0.67569594508707254</v>
      </c>
    </row>
    <row r="103" spans="1:3" x14ac:dyDescent="0.25">
      <c r="A103" s="95" t="s">
        <v>851</v>
      </c>
      <c r="B103" s="94">
        <v>410</v>
      </c>
      <c r="C103" s="93">
        <f t="shared" si="1"/>
        <v>0.68235304799433438</v>
      </c>
    </row>
    <row r="104" spans="1:3" x14ac:dyDescent="0.25">
      <c r="A104" s="95" t="s">
        <v>850</v>
      </c>
      <c r="B104" s="94">
        <v>411</v>
      </c>
      <c r="C104" s="93">
        <f t="shared" si="1"/>
        <v>0.68401732372114976</v>
      </c>
    </row>
    <row r="105" spans="1:3" x14ac:dyDescent="0.25">
      <c r="A105" s="95" t="s">
        <v>849</v>
      </c>
      <c r="B105" s="94">
        <v>412</v>
      </c>
      <c r="C105" s="93">
        <f t="shared" si="1"/>
        <v>0.68568159944796525</v>
      </c>
    </row>
    <row r="106" spans="1:3" x14ac:dyDescent="0.25">
      <c r="A106" s="95" t="s">
        <v>848</v>
      </c>
      <c r="B106" s="94">
        <v>414</v>
      </c>
      <c r="C106" s="93">
        <f t="shared" si="1"/>
        <v>0.68901015090159612</v>
      </c>
    </row>
    <row r="107" spans="1:3" x14ac:dyDescent="0.25">
      <c r="A107" s="95" t="s">
        <v>847</v>
      </c>
      <c r="B107" s="94">
        <v>417</v>
      </c>
      <c r="C107" s="93">
        <f t="shared" si="1"/>
        <v>0.69400297808204248</v>
      </c>
    </row>
    <row r="108" spans="1:3" x14ac:dyDescent="0.25">
      <c r="A108" s="95" t="s">
        <v>846</v>
      </c>
      <c r="B108" s="94">
        <v>419</v>
      </c>
      <c r="C108" s="93">
        <f t="shared" si="1"/>
        <v>0.69733152953567334</v>
      </c>
    </row>
    <row r="109" spans="1:3" x14ac:dyDescent="0.25">
      <c r="A109" s="95" t="s">
        <v>845</v>
      </c>
      <c r="B109" s="94">
        <v>431</v>
      </c>
      <c r="C109" s="93">
        <f t="shared" si="1"/>
        <v>0.71730283825745877</v>
      </c>
    </row>
    <row r="110" spans="1:3" x14ac:dyDescent="0.25">
      <c r="A110" s="95" t="s">
        <v>844</v>
      </c>
      <c r="B110" s="94">
        <v>439</v>
      </c>
      <c r="C110" s="93">
        <f t="shared" si="1"/>
        <v>0.73061704407198236</v>
      </c>
    </row>
    <row r="111" spans="1:3" x14ac:dyDescent="0.25">
      <c r="A111" s="95" t="s">
        <v>843</v>
      </c>
      <c r="B111" s="94">
        <v>447</v>
      </c>
      <c r="C111" s="93">
        <f t="shared" si="1"/>
        <v>0.74393124988650594</v>
      </c>
    </row>
    <row r="112" spans="1:3" x14ac:dyDescent="0.25">
      <c r="A112" s="95" t="s">
        <v>842</v>
      </c>
      <c r="B112" s="94">
        <v>448</v>
      </c>
      <c r="C112" s="93">
        <f t="shared" si="1"/>
        <v>0.74559552561332143</v>
      </c>
    </row>
    <row r="113" spans="1:3" x14ac:dyDescent="0.25">
      <c r="A113" s="95" t="s">
        <v>841</v>
      </c>
      <c r="B113" s="94">
        <v>456</v>
      </c>
      <c r="C113" s="93">
        <f t="shared" si="1"/>
        <v>0.75890973142784501</v>
      </c>
    </row>
    <row r="114" spans="1:3" x14ac:dyDescent="0.25">
      <c r="A114" s="95" t="s">
        <v>840</v>
      </c>
      <c r="B114" s="94">
        <v>458</v>
      </c>
      <c r="C114" s="93">
        <f t="shared" si="1"/>
        <v>0.76223828288147588</v>
      </c>
    </row>
    <row r="115" spans="1:3" x14ac:dyDescent="0.25">
      <c r="A115" s="95" t="s">
        <v>839</v>
      </c>
      <c r="B115" s="94">
        <v>460</v>
      </c>
      <c r="C115" s="93">
        <f t="shared" si="1"/>
        <v>0.76556683433510686</v>
      </c>
    </row>
    <row r="116" spans="1:3" x14ac:dyDescent="0.25">
      <c r="A116" s="95" t="s">
        <v>838</v>
      </c>
      <c r="B116" s="94">
        <v>463</v>
      </c>
      <c r="C116" s="93">
        <f t="shared" si="1"/>
        <v>0.77055966151555322</v>
      </c>
    </row>
    <row r="117" spans="1:3" x14ac:dyDescent="0.25">
      <c r="A117" s="95" t="s">
        <v>837</v>
      </c>
      <c r="B117" s="94">
        <v>469</v>
      </c>
      <c r="C117" s="93">
        <f t="shared" si="1"/>
        <v>0.78054531587644582</v>
      </c>
    </row>
    <row r="118" spans="1:3" x14ac:dyDescent="0.25">
      <c r="A118" s="95" t="s">
        <v>836</v>
      </c>
      <c r="B118" s="94">
        <v>469</v>
      </c>
      <c r="C118" s="93">
        <f t="shared" si="1"/>
        <v>0.78054531587644582</v>
      </c>
    </row>
    <row r="119" spans="1:3" x14ac:dyDescent="0.25">
      <c r="A119" s="95" t="s">
        <v>835</v>
      </c>
      <c r="B119" s="94">
        <v>470</v>
      </c>
      <c r="C119" s="93">
        <f t="shared" si="1"/>
        <v>0.78220959160326131</v>
      </c>
    </row>
    <row r="120" spans="1:3" x14ac:dyDescent="0.25">
      <c r="A120" s="95" t="s">
        <v>834</v>
      </c>
      <c r="B120" s="94">
        <v>473</v>
      </c>
      <c r="C120" s="93">
        <f t="shared" si="1"/>
        <v>0.78720241878370767</v>
      </c>
    </row>
    <row r="121" spans="1:3" x14ac:dyDescent="0.25">
      <c r="A121" s="95" t="s">
        <v>833</v>
      </c>
      <c r="B121" s="94">
        <v>492</v>
      </c>
      <c r="C121" s="93">
        <f t="shared" si="1"/>
        <v>0.81882365759320119</v>
      </c>
    </row>
    <row r="122" spans="1:3" x14ac:dyDescent="0.25">
      <c r="A122" s="95" t="s">
        <v>832</v>
      </c>
      <c r="B122" s="94">
        <v>494</v>
      </c>
      <c r="C122" s="93">
        <f t="shared" si="1"/>
        <v>0.82215220904683206</v>
      </c>
    </row>
    <row r="123" spans="1:3" x14ac:dyDescent="0.25">
      <c r="A123" s="95" t="s">
        <v>831</v>
      </c>
      <c r="B123" s="94">
        <v>495</v>
      </c>
      <c r="C123" s="93">
        <f t="shared" si="1"/>
        <v>0.82381648477364755</v>
      </c>
    </row>
    <row r="124" spans="1:3" x14ac:dyDescent="0.25">
      <c r="A124" s="95" t="s">
        <v>830</v>
      </c>
      <c r="B124" s="94">
        <v>502</v>
      </c>
      <c r="C124" s="93">
        <f t="shared" si="1"/>
        <v>0.83546641486135576</v>
      </c>
    </row>
    <row r="125" spans="1:3" x14ac:dyDescent="0.25">
      <c r="A125" s="95" t="s">
        <v>829</v>
      </c>
      <c r="B125" s="94">
        <v>513</v>
      </c>
      <c r="C125" s="93">
        <f t="shared" si="1"/>
        <v>0.8537734478563257</v>
      </c>
    </row>
    <row r="126" spans="1:3" x14ac:dyDescent="0.25">
      <c r="A126" s="95" t="s">
        <v>828</v>
      </c>
      <c r="B126" s="94">
        <v>515</v>
      </c>
      <c r="C126" s="93">
        <f t="shared" si="1"/>
        <v>0.85710199930995656</v>
      </c>
    </row>
    <row r="127" spans="1:3" x14ac:dyDescent="0.25">
      <c r="A127" s="95" t="s">
        <v>827</v>
      </c>
      <c r="B127" s="94">
        <v>515</v>
      </c>
      <c r="C127" s="93">
        <f t="shared" si="1"/>
        <v>0.85710199930995656</v>
      </c>
    </row>
    <row r="128" spans="1:3" x14ac:dyDescent="0.25">
      <c r="A128" s="95" t="s">
        <v>826</v>
      </c>
      <c r="B128" s="94">
        <v>521</v>
      </c>
      <c r="C128" s="93">
        <f t="shared" si="1"/>
        <v>0.86708765367084928</v>
      </c>
    </row>
    <row r="129" spans="1:3" x14ac:dyDescent="0.25">
      <c r="A129" s="95" t="s">
        <v>825</v>
      </c>
      <c r="B129" s="94">
        <v>525</v>
      </c>
      <c r="C129" s="93">
        <f t="shared" si="1"/>
        <v>0.87374475657811101</v>
      </c>
    </row>
    <row r="130" spans="1:3" x14ac:dyDescent="0.25">
      <c r="A130" s="95" t="s">
        <v>824</v>
      </c>
      <c r="B130" s="94">
        <v>526</v>
      </c>
      <c r="C130" s="93">
        <f t="shared" si="1"/>
        <v>0.8754090323049265</v>
      </c>
    </row>
    <row r="131" spans="1:3" x14ac:dyDescent="0.25">
      <c r="A131" s="95" t="s">
        <v>823</v>
      </c>
      <c r="B131" s="94">
        <v>540</v>
      </c>
      <c r="C131" s="93">
        <f t="shared" si="1"/>
        <v>0.8987088924803428</v>
      </c>
    </row>
    <row r="132" spans="1:3" x14ac:dyDescent="0.25">
      <c r="A132" s="95" t="s">
        <v>822</v>
      </c>
      <c r="B132" s="94">
        <v>545</v>
      </c>
      <c r="C132" s="93">
        <f t="shared" si="1"/>
        <v>0.90703027111442003</v>
      </c>
    </row>
    <row r="133" spans="1:3" x14ac:dyDescent="0.25">
      <c r="A133" s="95" t="s">
        <v>821</v>
      </c>
      <c r="B133" s="94">
        <v>547</v>
      </c>
      <c r="C133" s="93">
        <f t="shared" si="1"/>
        <v>0.9103588225680509</v>
      </c>
    </row>
    <row r="134" spans="1:3" x14ac:dyDescent="0.25">
      <c r="A134" s="95" t="s">
        <v>820</v>
      </c>
      <c r="B134" s="94">
        <v>548</v>
      </c>
      <c r="C134" s="93">
        <f t="shared" ref="C134:C197" si="2">B134*$H$3</f>
        <v>0.91202309829486639</v>
      </c>
    </row>
    <row r="135" spans="1:3" x14ac:dyDescent="0.25">
      <c r="A135" s="95" t="s">
        <v>819</v>
      </c>
      <c r="B135" s="94">
        <v>559</v>
      </c>
      <c r="C135" s="93">
        <f t="shared" si="2"/>
        <v>0.93033013128983633</v>
      </c>
    </row>
    <row r="136" spans="1:3" x14ac:dyDescent="0.25">
      <c r="A136" s="95" t="s">
        <v>818</v>
      </c>
      <c r="B136" s="94">
        <v>561</v>
      </c>
      <c r="C136" s="93">
        <f t="shared" si="2"/>
        <v>0.93365868274346719</v>
      </c>
    </row>
    <row r="137" spans="1:3" x14ac:dyDescent="0.25">
      <c r="A137" s="95" t="s">
        <v>817</v>
      </c>
      <c r="B137" s="94">
        <v>561</v>
      </c>
      <c r="C137" s="93">
        <f t="shared" si="2"/>
        <v>0.93365868274346719</v>
      </c>
    </row>
    <row r="138" spans="1:3" x14ac:dyDescent="0.25">
      <c r="A138" s="95" t="s">
        <v>816</v>
      </c>
      <c r="B138" s="94">
        <v>561</v>
      </c>
      <c r="C138" s="93">
        <f t="shared" si="2"/>
        <v>0.93365868274346719</v>
      </c>
    </row>
    <row r="139" spans="1:3" x14ac:dyDescent="0.25">
      <c r="A139" s="95" t="s">
        <v>815</v>
      </c>
      <c r="B139" s="94">
        <v>566</v>
      </c>
      <c r="C139" s="93">
        <f t="shared" si="2"/>
        <v>0.94198006137754453</v>
      </c>
    </row>
    <row r="140" spans="1:3" x14ac:dyDescent="0.25">
      <c r="A140" s="95" t="s">
        <v>814</v>
      </c>
      <c r="B140" s="94">
        <v>567</v>
      </c>
      <c r="C140" s="93">
        <f t="shared" si="2"/>
        <v>0.94364433710435991</v>
      </c>
    </row>
    <row r="141" spans="1:3" x14ac:dyDescent="0.25">
      <c r="A141" s="95" t="s">
        <v>813</v>
      </c>
      <c r="B141" s="94">
        <v>569</v>
      </c>
      <c r="C141" s="93">
        <f t="shared" si="2"/>
        <v>0.94697288855799089</v>
      </c>
    </row>
    <row r="142" spans="1:3" x14ac:dyDescent="0.25">
      <c r="A142" s="95" t="s">
        <v>812</v>
      </c>
      <c r="B142" s="94">
        <v>578</v>
      </c>
      <c r="C142" s="93">
        <f t="shared" si="2"/>
        <v>0.96195137009932985</v>
      </c>
    </row>
    <row r="143" spans="1:3" x14ac:dyDescent="0.25">
      <c r="A143" s="95" t="s">
        <v>811</v>
      </c>
      <c r="B143" s="94">
        <v>593</v>
      </c>
      <c r="C143" s="93">
        <f t="shared" si="2"/>
        <v>0.98691550600156164</v>
      </c>
    </row>
    <row r="144" spans="1:3" x14ac:dyDescent="0.25">
      <c r="A144" s="95" t="s">
        <v>810</v>
      </c>
      <c r="B144" s="94">
        <v>611</v>
      </c>
      <c r="C144" s="93">
        <f t="shared" si="2"/>
        <v>1.0168724690842397</v>
      </c>
    </row>
    <row r="145" spans="1:3" x14ac:dyDescent="0.25">
      <c r="A145" s="95" t="s">
        <v>809</v>
      </c>
      <c r="B145" s="94">
        <v>613</v>
      </c>
      <c r="C145" s="93">
        <f t="shared" si="2"/>
        <v>1.0202010205378707</v>
      </c>
    </row>
    <row r="146" spans="1:3" x14ac:dyDescent="0.25">
      <c r="A146" s="95" t="s">
        <v>808</v>
      </c>
      <c r="B146" s="94">
        <v>614</v>
      </c>
      <c r="C146" s="93">
        <f t="shared" si="2"/>
        <v>1.0218652962646861</v>
      </c>
    </row>
    <row r="147" spans="1:3" x14ac:dyDescent="0.25">
      <c r="A147" s="95" t="s">
        <v>807</v>
      </c>
      <c r="B147" s="94">
        <v>623</v>
      </c>
      <c r="C147" s="93">
        <f t="shared" si="2"/>
        <v>1.0368437778060251</v>
      </c>
    </row>
    <row r="148" spans="1:3" x14ac:dyDescent="0.25">
      <c r="A148" s="95" t="s">
        <v>806</v>
      </c>
      <c r="B148" s="94">
        <v>630</v>
      </c>
      <c r="C148" s="93">
        <f t="shared" si="2"/>
        <v>1.0484937078937333</v>
      </c>
    </row>
    <row r="149" spans="1:3" x14ac:dyDescent="0.25">
      <c r="A149" s="95" t="s">
        <v>805</v>
      </c>
      <c r="B149" s="94">
        <v>633</v>
      </c>
      <c r="C149" s="93">
        <f t="shared" si="2"/>
        <v>1.0534865350741796</v>
      </c>
    </row>
    <row r="150" spans="1:3" x14ac:dyDescent="0.25">
      <c r="A150" s="95" t="s">
        <v>804</v>
      </c>
      <c r="B150" s="94">
        <v>645</v>
      </c>
      <c r="C150" s="93">
        <f t="shared" si="2"/>
        <v>1.073457843795965</v>
      </c>
    </row>
    <row r="151" spans="1:3" x14ac:dyDescent="0.25">
      <c r="A151" s="95" t="s">
        <v>803</v>
      </c>
      <c r="B151" s="94">
        <v>657</v>
      </c>
      <c r="C151" s="93">
        <f t="shared" si="2"/>
        <v>1.0934291525177504</v>
      </c>
    </row>
    <row r="152" spans="1:3" x14ac:dyDescent="0.25">
      <c r="A152" s="95" t="s">
        <v>802</v>
      </c>
      <c r="B152" s="94">
        <v>666</v>
      </c>
      <c r="C152" s="93">
        <f t="shared" si="2"/>
        <v>1.1084076340590894</v>
      </c>
    </row>
    <row r="153" spans="1:3" x14ac:dyDescent="0.25">
      <c r="A153" s="95" t="s">
        <v>801</v>
      </c>
      <c r="B153" s="94">
        <v>670</v>
      </c>
      <c r="C153" s="93">
        <f t="shared" si="2"/>
        <v>1.1150647369663513</v>
      </c>
    </row>
    <row r="154" spans="1:3" x14ac:dyDescent="0.25">
      <c r="A154" s="95" t="s">
        <v>800</v>
      </c>
      <c r="B154" s="94">
        <v>676</v>
      </c>
      <c r="C154" s="93">
        <f t="shared" si="2"/>
        <v>1.125050391327244</v>
      </c>
    </row>
    <row r="155" spans="1:3" x14ac:dyDescent="0.25">
      <c r="A155" s="95" t="s">
        <v>799</v>
      </c>
      <c r="B155" s="94">
        <v>679</v>
      </c>
      <c r="C155" s="93">
        <f t="shared" si="2"/>
        <v>1.1300432185076903</v>
      </c>
    </row>
    <row r="156" spans="1:3" x14ac:dyDescent="0.25">
      <c r="A156" s="95" t="s">
        <v>798</v>
      </c>
      <c r="B156" s="94">
        <v>693</v>
      </c>
      <c r="C156" s="93">
        <f t="shared" si="2"/>
        <v>1.1533430786831065</v>
      </c>
    </row>
    <row r="157" spans="1:3" x14ac:dyDescent="0.25">
      <c r="A157" s="95" t="s">
        <v>797</v>
      </c>
      <c r="B157" s="94">
        <v>703</v>
      </c>
      <c r="C157" s="93">
        <f t="shared" si="2"/>
        <v>1.1699858359512612</v>
      </c>
    </row>
    <row r="158" spans="1:3" x14ac:dyDescent="0.25">
      <c r="A158" s="95" t="s">
        <v>796</v>
      </c>
      <c r="B158" s="94">
        <v>707</v>
      </c>
      <c r="C158" s="93">
        <f t="shared" si="2"/>
        <v>1.1766429388585229</v>
      </c>
    </row>
    <row r="159" spans="1:3" x14ac:dyDescent="0.25">
      <c r="A159" s="95" t="s">
        <v>795</v>
      </c>
      <c r="B159" s="94">
        <v>711</v>
      </c>
      <c r="C159" s="93">
        <f t="shared" si="2"/>
        <v>1.1833000417657846</v>
      </c>
    </row>
    <row r="160" spans="1:3" x14ac:dyDescent="0.25">
      <c r="A160" s="95" t="s">
        <v>794</v>
      </c>
      <c r="B160" s="94">
        <v>717</v>
      </c>
      <c r="C160" s="93">
        <f t="shared" si="2"/>
        <v>1.1932856961266773</v>
      </c>
    </row>
    <row r="161" spans="1:3" x14ac:dyDescent="0.25">
      <c r="A161" s="95" t="s">
        <v>793</v>
      </c>
      <c r="B161" s="94">
        <v>729</v>
      </c>
      <c r="C161" s="93">
        <f t="shared" si="2"/>
        <v>1.2132570048484628</v>
      </c>
    </row>
    <row r="162" spans="1:3" x14ac:dyDescent="0.25">
      <c r="A162" s="95" t="s">
        <v>792</v>
      </c>
      <c r="B162" s="94">
        <v>729</v>
      </c>
      <c r="C162" s="93">
        <f t="shared" si="2"/>
        <v>1.2132570048484628</v>
      </c>
    </row>
    <row r="163" spans="1:3" x14ac:dyDescent="0.25">
      <c r="A163" s="95" t="s">
        <v>791</v>
      </c>
      <c r="B163" s="94">
        <v>729</v>
      </c>
      <c r="C163" s="93">
        <f t="shared" si="2"/>
        <v>1.2132570048484628</v>
      </c>
    </row>
    <row r="164" spans="1:3" x14ac:dyDescent="0.25">
      <c r="A164" s="95" t="s">
        <v>790</v>
      </c>
      <c r="B164" s="94">
        <v>737</v>
      </c>
      <c r="C164" s="93">
        <f t="shared" si="2"/>
        <v>1.2265712106629865</v>
      </c>
    </row>
    <row r="165" spans="1:3" x14ac:dyDescent="0.25">
      <c r="A165" s="95" t="s">
        <v>789</v>
      </c>
      <c r="B165" s="94">
        <v>739</v>
      </c>
      <c r="C165" s="93">
        <f t="shared" si="2"/>
        <v>1.2298997621166172</v>
      </c>
    </row>
    <row r="166" spans="1:3" x14ac:dyDescent="0.25">
      <c r="A166" s="95" t="s">
        <v>788</v>
      </c>
      <c r="B166" s="94">
        <v>746</v>
      </c>
      <c r="C166" s="93">
        <f t="shared" si="2"/>
        <v>1.2415496922043254</v>
      </c>
    </row>
    <row r="167" spans="1:3" x14ac:dyDescent="0.25">
      <c r="A167" s="95" t="s">
        <v>787</v>
      </c>
      <c r="B167" s="94">
        <v>754</v>
      </c>
      <c r="C167" s="93">
        <f t="shared" si="2"/>
        <v>1.2548638980188491</v>
      </c>
    </row>
    <row r="168" spans="1:3" x14ac:dyDescent="0.25">
      <c r="A168" s="95" t="s">
        <v>786</v>
      </c>
      <c r="B168" s="94">
        <v>770</v>
      </c>
      <c r="C168" s="93">
        <f t="shared" si="2"/>
        <v>1.2814923096478963</v>
      </c>
    </row>
    <row r="169" spans="1:3" x14ac:dyDescent="0.25">
      <c r="A169" s="95" t="s">
        <v>785</v>
      </c>
      <c r="B169" s="94">
        <v>789</v>
      </c>
      <c r="C169" s="93">
        <f t="shared" si="2"/>
        <v>1.3131135484573897</v>
      </c>
    </row>
    <row r="170" spans="1:3" x14ac:dyDescent="0.25">
      <c r="A170" s="95" t="s">
        <v>784</v>
      </c>
      <c r="B170" s="94">
        <v>795</v>
      </c>
      <c r="C170" s="93">
        <f t="shared" si="2"/>
        <v>1.3230992028182824</v>
      </c>
    </row>
    <row r="171" spans="1:3" x14ac:dyDescent="0.25">
      <c r="A171" s="95" t="s">
        <v>783</v>
      </c>
      <c r="B171" s="94">
        <v>807</v>
      </c>
      <c r="C171" s="93">
        <f t="shared" si="2"/>
        <v>1.3430705115400678</v>
      </c>
    </row>
    <row r="172" spans="1:3" x14ac:dyDescent="0.25">
      <c r="A172" s="95" t="s">
        <v>782</v>
      </c>
      <c r="B172" s="94">
        <v>823</v>
      </c>
      <c r="C172" s="93">
        <f t="shared" si="2"/>
        <v>1.369698923169115</v>
      </c>
    </row>
    <row r="173" spans="1:3" x14ac:dyDescent="0.25">
      <c r="A173" s="95" t="s">
        <v>781</v>
      </c>
      <c r="B173" s="94">
        <v>823</v>
      </c>
      <c r="C173" s="93">
        <f t="shared" si="2"/>
        <v>1.369698923169115</v>
      </c>
    </row>
    <row r="174" spans="1:3" x14ac:dyDescent="0.25">
      <c r="A174" s="95" t="s">
        <v>780</v>
      </c>
      <c r="B174" s="94">
        <v>825</v>
      </c>
      <c r="C174" s="93">
        <f t="shared" si="2"/>
        <v>1.373027474622746</v>
      </c>
    </row>
    <row r="175" spans="1:3" x14ac:dyDescent="0.25">
      <c r="A175" s="95" t="s">
        <v>779</v>
      </c>
      <c r="B175" s="94">
        <v>825</v>
      </c>
      <c r="C175" s="93">
        <f t="shared" si="2"/>
        <v>1.373027474622746</v>
      </c>
    </row>
    <row r="176" spans="1:3" x14ac:dyDescent="0.25">
      <c r="A176" s="95" t="s">
        <v>778</v>
      </c>
      <c r="B176" s="94">
        <v>845</v>
      </c>
      <c r="C176" s="93">
        <f t="shared" si="2"/>
        <v>1.4063129891590549</v>
      </c>
    </row>
    <row r="177" spans="1:3" x14ac:dyDescent="0.25">
      <c r="A177" s="95" t="s">
        <v>777</v>
      </c>
      <c r="B177" s="94">
        <v>850</v>
      </c>
      <c r="C177" s="93">
        <f t="shared" si="2"/>
        <v>1.4146343677931321</v>
      </c>
    </row>
    <row r="178" spans="1:3" x14ac:dyDescent="0.25">
      <c r="A178" s="95" t="s">
        <v>776</v>
      </c>
      <c r="B178" s="94">
        <v>854</v>
      </c>
      <c r="C178" s="93">
        <f t="shared" si="2"/>
        <v>1.4212914707003941</v>
      </c>
    </row>
    <row r="179" spans="1:3" x14ac:dyDescent="0.25">
      <c r="A179" s="95" t="s">
        <v>775</v>
      </c>
      <c r="B179" s="94">
        <v>857</v>
      </c>
      <c r="C179" s="93">
        <f t="shared" si="2"/>
        <v>1.4262842978808403</v>
      </c>
    </row>
    <row r="180" spans="1:3" x14ac:dyDescent="0.25">
      <c r="A180" s="95" t="s">
        <v>774</v>
      </c>
      <c r="B180" s="94">
        <v>867</v>
      </c>
      <c r="C180" s="93">
        <f t="shared" si="2"/>
        <v>1.4429270551489948</v>
      </c>
    </row>
    <row r="181" spans="1:3" x14ac:dyDescent="0.25">
      <c r="A181" s="95" t="s">
        <v>773</v>
      </c>
      <c r="B181" s="94">
        <v>886</v>
      </c>
      <c r="C181" s="93">
        <f t="shared" si="2"/>
        <v>1.4745482939584884</v>
      </c>
    </row>
    <row r="182" spans="1:3" x14ac:dyDescent="0.25">
      <c r="A182" s="95" t="s">
        <v>772</v>
      </c>
      <c r="B182" s="94">
        <v>897</v>
      </c>
      <c r="C182" s="93">
        <f t="shared" si="2"/>
        <v>1.4928553269534584</v>
      </c>
    </row>
    <row r="183" spans="1:3" x14ac:dyDescent="0.25">
      <c r="A183" s="95" t="s">
        <v>771</v>
      </c>
      <c r="B183" s="94">
        <v>903</v>
      </c>
      <c r="C183" s="93">
        <f t="shared" si="2"/>
        <v>1.5028409813143511</v>
      </c>
    </row>
    <row r="184" spans="1:3" x14ac:dyDescent="0.25">
      <c r="A184" s="95" t="s">
        <v>770</v>
      </c>
      <c r="B184" s="94">
        <v>907</v>
      </c>
      <c r="C184" s="93">
        <f t="shared" si="2"/>
        <v>1.5094980842216128</v>
      </c>
    </row>
    <row r="185" spans="1:3" x14ac:dyDescent="0.25">
      <c r="A185" s="95" t="s">
        <v>769</v>
      </c>
      <c r="B185" s="94">
        <v>912</v>
      </c>
      <c r="C185" s="93">
        <f t="shared" si="2"/>
        <v>1.51781946285569</v>
      </c>
    </row>
    <row r="186" spans="1:3" x14ac:dyDescent="0.25">
      <c r="A186" s="95" t="s">
        <v>768</v>
      </c>
      <c r="B186" s="94">
        <v>918</v>
      </c>
      <c r="C186" s="93">
        <f t="shared" si="2"/>
        <v>1.5278051172165827</v>
      </c>
    </row>
    <row r="187" spans="1:3" x14ac:dyDescent="0.25">
      <c r="A187" s="95" t="s">
        <v>767</v>
      </c>
      <c r="B187" s="94">
        <v>923</v>
      </c>
      <c r="C187" s="93">
        <f t="shared" si="2"/>
        <v>1.53612649585066</v>
      </c>
    </row>
    <row r="188" spans="1:3" x14ac:dyDescent="0.25">
      <c r="A188" s="95" t="s">
        <v>766</v>
      </c>
      <c r="B188" s="94">
        <v>934</v>
      </c>
      <c r="C188" s="93">
        <f t="shared" si="2"/>
        <v>1.5544335288456299</v>
      </c>
    </row>
    <row r="189" spans="1:3" x14ac:dyDescent="0.25">
      <c r="A189" s="95" t="s">
        <v>765</v>
      </c>
      <c r="B189" s="94">
        <v>937</v>
      </c>
      <c r="C189" s="93">
        <f t="shared" si="2"/>
        <v>1.5594263560260764</v>
      </c>
    </row>
    <row r="190" spans="1:3" x14ac:dyDescent="0.25">
      <c r="A190" s="95" t="s">
        <v>764</v>
      </c>
      <c r="B190" s="94">
        <v>947</v>
      </c>
      <c r="C190" s="93">
        <f t="shared" si="2"/>
        <v>1.5760691132942308</v>
      </c>
    </row>
    <row r="191" spans="1:3" x14ac:dyDescent="0.25">
      <c r="A191" s="95" t="s">
        <v>763</v>
      </c>
      <c r="B191" s="94">
        <v>977</v>
      </c>
      <c r="C191" s="93">
        <f t="shared" si="2"/>
        <v>1.6259973850986942</v>
      </c>
    </row>
    <row r="192" spans="1:3" x14ac:dyDescent="0.25">
      <c r="A192" s="95" t="s">
        <v>762</v>
      </c>
      <c r="B192" s="94">
        <v>977</v>
      </c>
      <c r="C192" s="93">
        <f t="shared" si="2"/>
        <v>1.6259973850986942</v>
      </c>
    </row>
    <row r="193" spans="1:3" x14ac:dyDescent="0.25">
      <c r="A193" s="95" t="s">
        <v>761</v>
      </c>
      <c r="B193" s="94">
        <v>996</v>
      </c>
      <c r="C193" s="93">
        <f t="shared" si="2"/>
        <v>1.6576186239081878</v>
      </c>
    </row>
    <row r="194" spans="1:3" x14ac:dyDescent="0.25">
      <c r="A194" s="95" t="s">
        <v>760</v>
      </c>
      <c r="B194" s="94">
        <v>1011</v>
      </c>
      <c r="C194" s="93">
        <f t="shared" si="2"/>
        <v>1.6825827598104195</v>
      </c>
    </row>
    <row r="195" spans="1:3" x14ac:dyDescent="0.25">
      <c r="A195" s="95" t="s">
        <v>759</v>
      </c>
      <c r="B195" s="94">
        <v>1024</v>
      </c>
      <c r="C195" s="93">
        <f t="shared" si="2"/>
        <v>1.7042183442590204</v>
      </c>
    </row>
    <row r="196" spans="1:3" x14ac:dyDescent="0.25">
      <c r="A196" s="95" t="s">
        <v>758</v>
      </c>
      <c r="B196" s="94">
        <v>1047</v>
      </c>
      <c r="C196" s="93">
        <f t="shared" si="2"/>
        <v>1.7424966859757758</v>
      </c>
    </row>
    <row r="197" spans="1:3" x14ac:dyDescent="0.25">
      <c r="A197" s="95" t="s">
        <v>757</v>
      </c>
      <c r="B197" s="94">
        <v>1052</v>
      </c>
      <c r="C197" s="93">
        <f t="shared" si="2"/>
        <v>1.750818064609853</v>
      </c>
    </row>
    <row r="198" spans="1:3" x14ac:dyDescent="0.25">
      <c r="A198" s="95" t="s">
        <v>756</v>
      </c>
      <c r="B198" s="94">
        <v>1086</v>
      </c>
      <c r="C198" s="93">
        <f t="shared" ref="C198:C261" si="3">B198*$H$3</f>
        <v>1.8074034393215783</v>
      </c>
    </row>
    <row r="199" spans="1:3" x14ac:dyDescent="0.25">
      <c r="A199" s="95" t="s">
        <v>755</v>
      </c>
      <c r="B199" s="94">
        <v>1125</v>
      </c>
      <c r="C199" s="93">
        <f t="shared" si="3"/>
        <v>1.8723101926673809</v>
      </c>
    </row>
    <row r="200" spans="1:3" x14ac:dyDescent="0.25">
      <c r="A200" s="95" t="s">
        <v>754</v>
      </c>
      <c r="B200" s="94">
        <v>1126</v>
      </c>
      <c r="C200" s="93">
        <f t="shared" si="3"/>
        <v>1.8739744683941963</v>
      </c>
    </row>
    <row r="201" spans="1:3" x14ac:dyDescent="0.25">
      <c r="A201" s="95" t="s">
        <v>753</v>
      </c>
      <c r="B201" s="94">
        <v>1134</v>
      </c>
      <c r="C201" s="93">
        <f t="shared" si="3"/>
        <v>1.8872886742087198</v>
      </c>
    </row>
    <row r="202" spans="1:3" x14ac:dyDescent="0.25">
      <c r="A202" s="95" t="s">
        <v>752</v>
      </c>
      <c r="B202" s="94">
        <v>1134</v>
      </c>
      <c r="C202" s="93">
        <f t="shared" si="3"/>
        <v>1.8872886742087198</v>
      </c>
    </row>
    <row r="203" spans="1:3" x14ac:dyDescent="0.25">
      <c r="A203" s="95" t="s">
        <v>751</v>
      </c>
      <c r="B203" s="94">
        <v>1137</v>
      </c>
      <c r="C203" s="93">
        <f t="shared" si="3"/>
        <v>1.8922815013891663</v>
      </c>
    </row>
    <row r="204" spans="1:3" x14ac:dyDescent="0.25">
      <c r="A204" s="95" t="s">
        <v>750</v>
      </c>
      <c r="B204" s="94">
        <v>1141</v>
      </c>
      <c r="C204" s="93">
        <f t="shared" si="3"/>
        <v>1.898938604296428</v>
      </c>
    </row>
    <row r="205" spans="1:3" x14ac:dyDescent="0.25">
      <c r="A205" s="95" t="s">
        <v>749</v>
      </c>
      <c r="B205" s="94">
        <v>1152</v>
      </c>
      <c r="C205" s="93">
        <f t="shared" si="3"/>
        <v>1.917245637291398</v>
      </c>
    </row>
    <row r="206" spans="1:3" x14ac:dyDescent="0.25">
      <c r="A206" s="95" t="s">
        <v>748</v>
      </c>
      <c r="B206" s="94">
        <v>1154</v>
      </c>
      <c r="C206" s="93">
        <f t="shared" si="3"/>
        <v>1.9205741887450289</v>
      </c>
    </row>
    <row r="207" spans="1:3" x14ac:dyDescent="0.25">
      <c r="A207" s="95" t="s">
        <v>747</v>
      </c>
      <c r="B207" s="94">
        <v>1156</v>
      </c>
      <c r="C207" s="93">
        <f t="shared" si="3"/>
        <v>1.9239027401986597</v>
      </c>
    </row>
    <row r="208" spans="1:3" x14ac:dyDescent="0.25">
      <c r="A208" s="95" t="s">
        <v>746</v>
      </c>
      <c r="B208" s="94">
        <v>1157</v>
      </c>
      <c r="C208" s="93">
        <f t="shared" si="3"/>
        <v>1.9255670159254752</v>
      </c>
    </row>
    <row r="209" spans="1:3" x14ac:dyDescent="0.25">
      <c r="A209" s="95" t="s">
        <v>745</v>
      </c>
      <c r="B209" s="94">
        <v>1160</v>
      </c>
      <c r="C209" s="93">
        <f t="shared" si="3"/>
        <v>1.9305598431059217</v>
      </c>
    </row>
    <row r="210" spans="1:3" x14ac:dyDescent="0.25">
      <c r="A210" s="95" t="s">
        <v>744</v>
      </c>
      <c r="B210" s="94">
        <v>1182</v>
      </c>
      <c r="C210" s="93">
        <f t="shared" si="3"/>
        <v>1.9671739090958615</v>
      </c>
    </row>
    <row r="211" spans="1:3" x14ac:dyDescent="0.25">
      <c r="A211" s="95" t="s">
        <v>743</v>
      </c>
      <c r="B211" s="94">
        <v>1230</v>
      </c>
      <c r="C211" s="93">
        <f t="shared" si="3"/>
        <v>2.0470591439830028</v>
      </c>
    </row>
    <row r="212" spans="1:3" x14ac:dyDescent="0.25">
      <c r="A212" s="95" t="s">
        <v>742</v>
      </c>
      <c r="B212" s="94">
        <v>1250</v>
      </c>
      <c r="C212" s="93">
        <f t="shared" si="3"/>
        <v>2.0803446585193122</v>
      </c>
    </row>
    <row r="213" spans="1:3" x14ac:dyDescent="0.25">
      <c r="A213" s="95" t="s">
        <v>741</v>
      </c>
      <c r="B213" s="94">
        <v>1253</v>
      </c>
      <c r="C213" s="93">
        <f t="shared" si="3"/>
        <v>2.0853374856997582</v>
      </c>
    </row>
    <row r="214" spans="1:3" x14ac:dyDescent="0.25">
      <c r="A214" s="95" t="s">
        <v>740</v>
      </c>
      <c r="B214" s="94">
        <v>1256</v>
      </c>
      <c r="C214" s="93">
        <f t="shared" si="3"/>
        <v>2.0903303128802047</v>
      </c>
    </row>
    <row r="215" spans="1:3" x14ac:dyDescent="0.25">
      <c r="A215" s="95" t="s">
        <v>739</v>
      </c>
      <c r="B215" s="94">
        <v>1275</v>
      </c>
      <c r="C215" s="93">
        <f t="shared" si="3"/>
        <v>2.1219515516896981</v>
      </c>
    </row>
    <row r="216" spans="1:3" x14ac:dyDescent="0.25">
      <c r="A216" s="95" t="s">
        <v>738</v>
      </c>
      <c r="B216" s="94">
        <v>1292</v>
      </c>
      <c r="C216" s="93">
        <f t="shared" si="3"/>
        <v>2.1502442390455609</v>
      </c>
    </row>
    <row r="217" spans="1:3" x14ac:dyDescent="0.25">
      <c r="A217" s="95" t="s">
        <v>737</v>
      </c>
      <c r="B217" s="94">
        <v>1300</v>
      </c>
      <c r="C217" s="93">
        <f t="shared" si="3"/>
        <v>2.1635584448600844</v>
      </c>
    </row>
    <row r="218" spans="1:3" x14ac:dyDescent="0.25">
      <c r="A218" s="95" t="s">
        <v>736</v>
      </c>
      <c r="B218" s="94">
        <v>1328</v>
      </c>
      <c r="C218" s="93">
        <f t="shared" si="3"/>
        <v>2.2101581652109172</v>
      </c>
    </row>
    <row r="219" spans="1:3" x14ac:dyDescent="0.25">
      <c r="A219" s="95" t="s">
        <v>735</v>
      </c>
      <c r="B219" s="94">
        <v>1373</v>
      </c>
      <c r="C219" s="93">
        <f t="shared" si="3"/>
        <v>2.2850505729176125</v>
      </c>
    </row>
    <row r="220" spans="1:3" x14ac:dyDescent="0.25">
      <c r="A220" s="95" t="s">
        <v>734</v>
      </c>
      <c r="B220" s="94">
        <v>1376</v>
      </c>
      <c r="C220" s="93">
        <f t="shared" si="3"/>
        <v>2.2900434000980585</v>
      </c>
    </row>
    <row r="221" spans="1:3" x14ac:dyDescent="0.25">
      <c r="A221" s="95" t="s">
        <v>733</v>
      </c>
      <c r="B221" s="94">
        <v>1381</v>
      </c>
      <c r="C221" s="93">
        <f t="shared" si="3"/>
        <v>2.298364778732136</v>
      </c>
    </row>
    <row r="222" spans="1:3" x14ac:dyDescent="0.25">
      <c r="A222" s="95" t="s">
        <v>732</v>
      </c>
      <c r="B222" s="94">
        <v>1393</v>
      </c>
      <c r="C222" s="93">
        <f t="shared" si="3"/>
        <v>2.3183360874539214</v>
      </c>
    </row>
    <row r="223" spans="1:3" x14ac:dyDescent="0.25">
      <c r="A223" s="95" t="s">
        <v>731</v>
      </c>
      <c r="B223" s="94">
        <v>1403</v>
      </c>
      <c r="C223" s="93">
        <f t="shared" si="3"/>
        <v>2.3349788447220758</v>
      </c>
    </row>
    <row r="224" spans="1:3" x14ac:dyDescent="0.25">
      <c r="A224" s="95" t="s">
        <v>730</v>
      </c>
      <c r="B224" s="94">
        <v>1440</v>
      </c>
      <c r="C224" s="93">
        <f t="shared" si="3"/>
        <v>2.3965570466142476</v>
      </c>
    </row>
    <row r="225" spans="1:3" x14ac:dyDescent="0.25">
      <c r="A225" s="95" t="s">
        <v>729</v>
      </c>
      <c r="B225" s="94">
        <v>1443</v>
      </c>
      <c r="C225" s="93">
        <f t="shared" si="3"/>
        <v>2.4015498737946936</v>
      </c>
    </row>
    <row r="226" spans="1:3" x14ac:dyDescent="0.25">
      <c r="A226" s="95" t="s">
        <v>728</v>
      </c>
      <c r="B226" s="94">
        <v>1448</v>
      </c>
      <c r="C226" s="93">
        <f t="shared" si="3"/>
        <v>2.4098712524287711</v>
      </c>
    </row>
    <row r="227" spans="1:3" x14ac:dyDescent="0.25">
      <c r="A227" s="95" t="s">
        <v>727</v>
      </c>
      <c r="B227" s="94">
        <v>1470</v>
      </c>
      <c r="C227" s="93">
        <f t="shared" si="3"/>
        <v>2.446485318418711</v>
      </c>
    </row>
    <row r="228" spans="1:3" x14ac:dyDescent="0.25">
      <c r="A228" s="95" t="s">
        <v>726</v>
      </c>
      <c r="B228" s="94">
        <v>1481</v>
      </c>
      <c r="C228" s="93">
        <f t="shared" si="3"/>
        <v>2.4647923514136809</v>
      </c>
    </row>
    <row r="229" spans="1:3" x14ac:dyDescent="0.25">
      <c r="A229" s="95" t="s">
        <v>725</v>
      </c>
      <c r="B229" s="94">
        <v>1498</v>
      </c>
      <c r="C229" s="93">
        <f t="shared" si="3"/>
        <v>2.4930850387695433</v>
      </c>
    </row>
    <row r="230" spans="1:3" x14ac:dyDescent="0.25">
      <c r="A230" s="95" t="s">
        <v>724</v>
      </c>
      <c r="B230" s="94">
        <v>1500</v>
      </c>
      <c r="C230" s="93">
        <f t="shared" si="3"/>
        <v>2.4964135902231743</v>
      </c>
    </row>
    <row r="231" spans="1:3" x14ac:dyDescent="0.25">
      <c r="A231" s="95" t="s">
        <v>723</v>
      </c>
      <c r="B231" s="94">
        <v>1512</v>
      </c>
      <c r="C231" s="93">
        <f t="shared" si="3"/>
        <v>2.5163848989449598</v>
      </c>
    </row>
    <row r="232" spans="1:3" x14ac:dyDescent="0.25">
      <c r="A232" s="95" t="s">
        <v>722</v>
      </c>
      <c r="B232" s="94">
        <v>1525</v>
      </c>
      <c r="C232" s="93">
        <f t="shared" si="3"/>
        <v>2.5380204833935607</v>
      </c>
    </row>
    <row r="233" spans="1:3" x14ac:dyDescent="0.25">
      <c r="A233" s="95" t="s">
        <v>721</v>
      </c>
      <c r="B233" s="94">
        <v>1526</v>
      </c>
      <c r="C233" s="93">
        <f t="shared" si="3"/>
        <v>2.5396847591203762</v>
      </c>
    </row>
    <row r="234" spans="1:3" x14ac:dyDescent="0.25">
      <c r="A234" s="95" t="s">
        <v>720</v>
      </c>
      <c r="B234" s="94">
        <v>1530</v>
      </c>
      <c r="C234" s="93">
        <f t="shared" si="3"/>
        <v>2.5463418620276381</v>
      </c>
    </row>
    <row r="235" spans="1:3" x14ac:dyDescent="0.25">
      <c r="A235" s="95" t="s">
        <v>719</v>
      </c>
      <c r="B235" s="94">
        <v>1538</v>
      </c>
      <c r="C235" s="93">
        <f t="shared" si="3"/>
        <v>2.5596560678421616</v>
      </c>
    </row>
    <row r="236" spans="1:3" x14ac:dyDescent="0.25">
      <c r="A236" s="95" t="s">
        <v>718</v>
      </c>
      <c r="B236" s="94">
        <v>1657</v>
      </c>
      <c r="C236" s="93">
        <f t="shared" si="3"/>
        <v>2.7577048793332</v>
      </c>
    </row>
    <row r="237" spans="1:3" x14ac:dyDescent="0.25">
      <c r="A237" s="95" t="s">
        <v>717</v>
      </c>
      <c r="B237" s="94">
        <v>1660</v>
      </c>
      <c r="C237" s="93">
        <f t="shared" si="3"/>
        <v>2.7626977065136464</v>
      </c>
    </row>
    <row r="238" spans="1:3" x14ac:dyDescent="0.25">
      <c r="A238" s="95" t="s">
        <v>716</v>
      </c>
      <c r="B238" s="94">
        <v>1709</v>
      </c>
      <c r="C238" s="93">
        <f t="shared" si="3"/>
        <v>2.8442472171276032</v>
      </c>
    </row>
    <row r="239" spans="1:3" x14ac:dyDescent="0.25">
      <c r="A239" s="95" t="s">
        <v>715</v>
      </c>
      <c r="B239" s="94">
        <v>1715</v>
      </c>
      <c r="C239" s="93">
        <f t="shared" si="3"/>
        <v>2.8542328714884961</v>
      </c>
    </row>
    <row r="240" spans="1:3" x14ac:dyDescent="0.25">
      <c r="A240" s="95" t="s">
        <v>714</v>
      </c>
      <c r="B240" s="94">
        <v>1744</v>
      </c>
      <c r="C240" s="93">
        <f t="shared" si="3"/>
        <v>2.902496867566144</v>
      </c>
    </row>
    <row r="241" spans="1:3" x14ac:dyDescent="0.25">
      <c r="A241" s="95" t="s">
        <v>713</v>
      </c>
      <c r="B241" s="94">
        <v>1749</v>
      </c>
      <c r="C241" s="93">
        <f t="shared" si="3"/>
        <v>2.9108182462002214</v>
      </c>
    </row>
    <row r="242" spans="1:3" x14ac:dyDescent="0.25">
      <c r="A242" s="95" t="s">
        <v>712</v>
      </c>
      <c r="B242" s="94">
        <v>1799</v>
      </c>
      <c r="C242" s="93">
        <f t="shared" si="3"/>
        <v>2.9940320325409937</v>
      </c>
    </row>
    <row r="243" spans="1:3" x14ac:dyDescent="0.25">
      <c r="A243" s="95" t="s">
        <v>711</v>
      </c>
      <c r="B243" s="94">
        <v>1824</v>
      </c>
      <c r="C243" s="93">
        <f t="shared" si="3"/>
        <v>3.0356389257113801</v>
      </c>
    </row>
    <row r="244" spans="1:3" x14ac:dyDescent="0.25">
      <c r="A244" s="95" t="s">
        <v>710</v>
      </c>
      <c r="B244" s="94">
        <v>1825</v>
      </c>
      <c r="C244" s="93">
        <f t="shared" si="3"/>
        <v>3.0373032014381955</v>
      </c>
    </row>
    <row r="245" spans="1:3" x14ac:dyDescent="0.25">
      <c r="A245" s="95" t="s">
        <v>709</v>
      </c>
      <c r="B245" s="94">
        <v>1860</v>
      </c>
      <c r="C245" s="93">
        <f t="shared" si="3"/>
        <v>3.0955528518767363</v>
      </c>
    </row>
    <row r="246" spans="1:3" x14ac:dyDescent="0.25">
      <c r="A246" s="95" t="s">
        <v>708</v>
      </c>
      <c r="B246" s="94">
        <v>1880</v>
      </c>
      <c r="C246" s="93">
        <f t="shared" si="3"/>
        <v>3.1288383664130452</v>
      </c>
    </row>
    <row r="247" spans="1:3" x14ac:dyDescent="0.25">
      <c r="A247" s="95" t="s">
        <v>707</v>
      </c>
      <c r="B247" s="94">
        <v>1905</v>
      </c>
      <c r="C247" s="93">
        <f t="shared" si="3"/>
        <v>3.1704452595834316</v>
      </c>
    </row>
    <row r="248" spans="1:3" x14ac:dyDescent="0.25">
      <c r="A248" s="95" t="s">
        <v>706</v>
      </c>
      <c r="B248" s="94">
        <v>1958</v>
      </c>
      <c r="C248" s="93">
        <f t="shared" si="3"/>
        <v>3.2586518731046503</v>
      </c>
    </row>
    <row r="249" spans="1:3" x14ac:dyDescent="0.25">
      <c r="A249" s="95" t="s">
        <v>705</v>
      </c>
      <c r="B249" s="94">
        <v>1974</v>
      </c>
      <c r="C249" s="93">
        <f t="shared" si="3"/>
        <v>3.2852802847336977</v>
      </c>
    </row>
    <row r="250" spans="1:3" x14ac:dyDescent="0.25">
      <c r="A250" s="95" t="s">
        <v>704</v>
      </c>
      <c r="B250" s="94">
        <v>1982</v>
      </c>
      <c r="C250" s="93">
        <f t="shared" si="3"/>
        <v>3.2985944905482212</v>
      </c>
    </row>
    <row r="251" spans="1:3" x14ac:dyDescent="0.25">
      <c r="A251" s="95" t="s">
        <v>703</v>
      </c>
      <c r="B251" s="94">
        <v>1983</v>
      </c>
      <c r="C251" s="93">
        <f t="shared" si="3"/>
        <v>3.3002587662750367</v>
      </c>
    </row>
    <row r="252" spans="1:3" x14ac:dyDescent="0.25">
      <c r="A252" s="95" t="s">
        <v>702</v>
      </c>
      <c r="B252" s="94">
        <v>1991</v>
      </c>
      <c r="C252" s="93">
        <f t="shared" si="3"/>
        <v>3.3135729720895601</v>
      </c>
    </row>
    <row r="253" spans="1:3" x14ac:dyDescent="0.25">
      <c r="A253" s="95" t="s">
        <v>701</v>
      </c>
      <c r="B253" s="94">
        <v>2046</v>
      </c>
      <c r="C253" s="93">
        <f t="shared" si="3"/>
        <v>3.4051081370644098</v>
      </c>
    </row>
    <row r="254" spans="1:3" x14ac:dyDescent="0.25">
      <c r="A254" s="95" t="s">
        <v>700</v>
      </c>
      <c r="B254" s="94">
        <v>2071</v>
      </c>
      <c r="C254" s="93">
        <f t="shared" si="3"/>
        <v>3.4467150302347962</v>
      </c>
    </row>
    <row r="255" spans="1:3" x14ac:dyDescent="0.25">
      <c r="A255" s="95" t="s">
        <v>699</v>
      </c>
      <c r="B255" s="94">
        <v>2119</v>
      </c>
      <c r="C255" s="93">
        <f t="shared" si="3"/>
        <v>3.5266002651219379</v>
      </c>
    </row>
    <row r="256" spans="1:3" x14ac:dyDescent="0.25">
      <c r="A256" s="95" t="s">
        <v>698</v>
      </c>
      <c r="B256" s="94">
        <v>2125</v>
      </c>
      <c r="C256" s="93">
        <f t="shared" si="3"/>
        <v>3.5365859194828304</v>
      </c>
    </row>
    <row r="257" spans="1:3" x14ac:dyDescent="0.25">
      <c r="A257" s="95" t="s">
        <v>697</v>
      </c>
      <c r="B257" s="94">
        <v>2133</v>
      </c>
      <c r="C257" s="93">
        <f t="shared" si="3"/>
        <v>3.5499001252973539</v>
      </c>
    </row>
    <row r="258" spans="1:3" x14ac:dyDescent="0.25">
      <c r="A258" s="95" t="s">
        <v>696</v>
      </c>
      <c r="B258" s="94">
        <v>2152</v>
      </c>
      <c r="C258" s="93">
        <f t="shared" si="3"/>
        <v>3.5815213641068477</v>
      </c>
    </row>
    <row r="259" spans="1:3" x14ac:dyDescent="0.25">
      <c r="A259" s="95" t="s">
        <v>695</v>
      </c>
      <c r="B259" s="94">
        <v>2172</v>
      </c>
      <c r="C259" s="93">
        <f t="shared" si="3"/>
        <v>3.6148068786431566</v>
      </c>
    </row>
    <row r="260" spans="1:3" x14ac:dyDescent="0.25">
      <c r="A260" s="95" t="s">
        <v>694</v>
      </c>
      <c r="B260" s="94">
        <v>2225</v>
      </c>
      <c r="C260" s="93">
        <f t="shared" si="3"/>
        <v>3.7030134921643754</v>
      </c>
    </row>
    <row r="261" spans="1:3" x14ac:dyDescent="0.25">
      <c r="A261" s="95" t="s">
        <v>693</v>
      </c>
      <c r="B261" s="94">
        <v>2307</v>
      </c>
      <c r="C261" s="93">
        <f t="shared" si="3"/>
        <v>3.8394841017632424</v>
      </c>
    </row>
    <row r="262" spans="1:3" x14ac:dyDescent="0.25">
      <c r="A262" s="95" t="s">
        <v>692</v>
      </c>
      <c r="B262" s="94">
        <v>2331</v>
      </c>
      <c r="C262" s="93">
        <f t="shared" ref="C262:C325" si="4">B262*$H$3</f>
        <v>3.8794267192068133</v>
      </c>
    </row>
    <row r="263" spans="1:3" x14ac:dyDescent="0.25">
      <c r="A263" s="95" t="s">
        <v>691</v>
      </c>
      <c r="B263" s="94">
        <v>2339</v>
      </c>
      <c r="C263" s="93">
        <f t="shared" si="4"/>
        <v>3.8927409250213367</v>
      </c>
    </row>
    <row r="264" spans="1:3" x14ac:dyDescent="0.25">
      <c r="A264" s="95" t="s">
        <v>690</v>
      </c>
      <c r="B264" s="94">
        <v>2369</v>
      </c>
      <c r="C264" s="93">
        <f t="shared" si="4"/>
        <v>3.9426691968258001</v>
      </c>
    </row>
    <row r="265" spans="1:3" x14ac:dyDescent="0.25">
      <c r="A265" s="95" t="s">
        <v>689</v>
      </c>
      <c r="B265" s="94">
        <v>2380</v>
      </c>
      <c r="C265" s="93">
        <f t="shared" si="4"/>
        <v>3.96097622982077</v>
      </c>
    </row>
    <row r="266" spans="1:3" x14ac:dyDescent="0.25">
      <c r="A266" s="95" t="s">
        <v>688</v>
      </c>
      <c r="B266" s="94">
        <v>2443</v>
      </c>
      <c r="C266" s="93">
        <f t="shared" si="4"/>
        <v>4.0658256006101432</v>
      </c>
    </row>
    <row r="267" spans="1:3" x14ac:dyDescent="0.25">
      <c r="A267" s="95" t="s">
        <v>687</v>
      </c>
      <c r="B267" s="94">
        <v>2461</v>
      </c>
      <c r="C267" s="93">
        <f t="shared" si="4"/>
        <v>4.0957825636928211</v>
      </c>
    </row>
    <row r="268" spans="1:3" x14ac:dyDescent="0.25">
      <c r="A268" s="95" t="s">
        <v>686</v>
      </c>
      <c r="B268" s="94">
        <v>2462</v>
      </c>
      <c r="C268" s="93">
        <f t="shared" si="4"/>
        <v>4.0974468394196366</v>
      </c>
    </row>
    <row r="269" spans="1:3" x14ac:dyDescent="0.25">
      <c r="A269" s="95" t="s">
        <v>685</v>
      </c>
      <c r="B269" s="94">
        <v>2506</v>
      </c>
      <c r="C269" s="93">
        <f t="shared" si="4"/>
        <v>4.1706749713995164</v>
      </c>
    </row>
    <row r="270" spans="1:3" x14ac:dyDescent="0.25">
      <c r="A270" s="95" t="s">
        <v>684</v>
      </c>
      <c r="B270" s="94">
        <v>2512</v>
      </c>
      <c r="C270" s="93">
        <f t="shared" si="4"/>
        <v>4.1806606257604093</v>
      </c>
    </row>
    <row r="271" spans="1:3" x14ac:dyDescent="0.25">
      <c r="A271" s="95" t="s">
        <v>683</v>
      </c>
      <c r="B271" s="94">
        <v>2574</v>
      </c>
      <c r="C271" s="93">
        <f t="shared" si="4"/>
        <v>4.283845720822967</v>
      </c>
    </row>
    <row r="272" spans="1:3" x14ac:dyDescent="0.25">
      <c r="A272" s="95" t="s">
        <v>682</v>
      </c>
      <c r="B272" s="94">
        <v>2600</v>
      </c>
      <c r="C272" s="93">
        <f t="shared" si="4"/>
        <v>4.3271168897201688</v>
      </c>
    </row>
    <row r="273" spans="1:3" x14ac:dyDescent="0.25">
      <c r="A273" s="95" t="s">
        <v>681</v>
      </c>
      <c r="B273" s="94">
        <v>2650</v>
      </c>
      <c r="C273" s="93">
        <f t="shared" si="4"/>
        <v>4.4103306760609415</v>
      </c>
    </row>
    <row r="274" spans="1:3" x14ac:dyDescent="0.25">
      <c r="A274" s="95" t="s">
        <v>680</v>
      </c>
      <c r="B274" s="94">
        <v>2675</v>
      </c>
      <c r="C274" s="93">
        <f t="shared" si="4"/>
        <v>4.4519375692313279</v>
      </c>
    </row>
    <row r="275" spans="1:3" x14ac:dyDescent="0.25">
      <c r="A275" s="95" t="s">
        <v>679</v>
      </c>
      <c r="B275" s="94">
        <v>2706</v>
      </c>
      <c r="C275" s="93">
        <f t="shared" si="4"/>
        <v>4.5035301167626063</v>
      </c>
    </row>
    <row r="276" spans="1:3" x14ac:dyDescent="0.25">
      <c r="A276" s="95" t="s">
        <v>678</v>
      </c>
      <c r="B276" s="94">
        <v>2733</v>
      </c>
      <c r="C276" s="93">
        <f t="shared" si="4"/>
        <v>4.5484655613866236</v>
      </c>
    </row>
    <row r="277" spans="1:3" x14ac:dyDescent="0.25">
      <c r="A277" s="95" t="s">
        <v>677</v>
      </c>
      <c r="B277" s="94">
        <v>2744</v>
      </c>
      <c r="C277" s="93">
        <f t="shared" si="4"/>
        <v>4.566772594381594</v>
      </c>
    </row>
    <row r="278" spans="1:3" x14ac:dyDescent="0.25">
      <c r="A278" s="95" t="s">
        <v>676</v>
      </c>
      <c r="B278" s="94">
        <v>2746</v>
      </c>
      <c r="C278" s="93">
        <f t="shared" si="4"/>
        <v>4.570101145835225</v>
      </c>
    </row>
    <row r="279" spans="1:3" x14ac:dyDescent="0.25">
      <c r="A279" s="95" t="s">
        <v>675</v>
      </c>
      <c r="B279" s="94">
        <v>2778</v>
      </c>
      <c r="C279" s="93">
        <f t="shared" si="4"/>
        <v>4.6233579690933189</v>
      </c>
    </row>
    <row r="280" spans="1:3" x14ac:dyDescent="0.25">
      <c r="A280" s="95" t="s">
        <v>674</v>
      </c>
      <c r="B280" s="94">
        <v>2860</v>
      </c>
      <c r="C280" s="93">
        <f t="shared" si="4"/>
        <v>4.7598285786921863</v>
      </c>
    </row>
    <row r="281" spans="1:3" x14ac:dyDescent="0.25">
      <c r="A281" s="95" t="s">
        <v>673</v>
      </c>
      <c r="B281" s="94">
        <v>2921</v>
      </c>
      <c r="C281" s="93">
        <f t="shared" si="4"/>
        <v>4.8613493980279285</v>
      </c>
    </row>
    <row r="282" spans="1:3" x14ac:dyDescent="0.25">
      <c r="A282" s="95" t="s">
        <v>672</v>
      </c>
      <c r="B282" s="94">
        <v>2966</v>
      </c>
      <c r="C282" s="93">
        <f t="shared" si="4"/>
        <v>4.9362418057346238</v>
      </c>
    </row>
    <row r="283" spans="1:3" x14ac:dyDescent="0.25">
      <c r="A283" s="95" t="s">
        <v>671</v>
      </c>
      <c r="B283" s="94">
        <v>2997</v>
      </c>
      <c r="C283" s="93">
        <f t="shared" si="4"/>
        <v>4.9878343532659022</v>
      </c>
    </row>
    <row r="284" spans="1:3" x14ac:dyDescent="0.25">
      <c r="A284" s="95" t="s">
        <v>670</v>
      </c>
      <c r="B284" s="94">
        <v>3115</v>
      </c>
      <c r="C284" s="93">
        <f t="shared" si="4"/>
        <v>5.1842188890301255</v>
      </c>
    </row>
    <row r="285" spans="1:3" x14ac:dyDescent="0.25">
      <c r="A285" s="95" t="s">
        <v>669</v>
      </c>
      <c r="B285" s="94">
        <v>3264</v>
      </c>
      <c r="C285" s="93">
        <f t="shared" si="4"/>
        <v>5.4321959723256272</v>
      </c>
    </row>
    <row r="286" spans="1:3" x14ac:dyDescent="0.25">
      <c r="A286" s="95" t="s">
        <v>668</v>
      </c>
      <c r="B286" s="94">
        <v>3294</v>
      </c>
      <c r="C286" s="93">
        <f t="shared" si="4"/>
        <v>5.482124244130091</v>
      </c>
    </row>
    <row r="287" spans="1:3" x14ac:dyDescent="0.25">
      <c r="A287" s="95" t="s">
        <v>667</v>
      </c>
      <c r="B287" s="94">
        <v>3312</v>
      </c>
      <c r="C287" s="93">
        <f t="shared" si="4"/>
        <v>5.512081207212769</v>
      </c>
    </row>
    <row r="288" spans="1:3" x14ac:dyDescent="0.25">
      <c r="A288" s="95" t="s">
        <v>666</v>
      </c>
      <c r="B288" s="94">
        <v>3391</v>
      </c>
      <c r="C288" s="93">
        <f t="shared" si="4"/>
        <v>5.64355898963119</v>
      </c>
    </row>
    <row r="289" spans="1:3" x14ac:dyDescent="0.25">
      <c r="A289" s="95" t="s">
        <v>665</v>
      </c>
      <c r="B289" s="94">
        <v>3432</v>
      </c>
      <c r="C289" s="93">
        <f t="shared" si="4"/>
        <v>5.7117942944306233</v>
      </c>
    </row>
    <row r="290" spans="1:3" x14ac:dyDescent="0.25">
      <c r="A290" s="95" t="s">
        <v>664</v>
      </c>
      <c r="B290" s="94">
        <v>3470</v>
      </c>
      <c r="C290" s="93">
        <f t="shared" si="4"/>
        <v>5.7750367720496101</v>
      </c>
    </row>
    <row r="291" spans="1:3" x14ac:dyDescent="0.25">
      <c r="A291" s="95" t="s">
        <v>663</v>
      </c>
      <c r="B291" s="94">
        <v>3545</v>
      </c>
      <c r="C291" s="93">
        <f t="shared" si="4"/>
        <v>5.8998574515607691</v>
      </c>
    </row>
    <row r="292" spans="1:3" x14ac:dyDescent="0.25">
      <c r="A292" s="95" t="s">
        <v>662</v>
      </c>
      <c r="B292" s="94">
        <v>3610</v>
      </c>
      <c r="C292" s="93">
        <f t="shared" si="4"/>
        <v>6.0080353738037733</v>
      </c>
    </row>
    <row r="293" spans="1:3" x14ac:dyDescent="0.25">
      <c r="A293" s="95" t="s">
        <v>661</v>
      </c>
      <c r="B293" s="94">
        <v>3640</v>
      </c>
      <c r="C293" s="93">
        <f t="shared" si="4"/>
        <v>6.0579636456082362</v>
      </c>
    </row>
    <row r="294" spans="1:3" x14ac:dyDescent="0.25">
      <c r="A294" s="95" t="s">
        <v>660</v>
      </c>
      <c r="B294" s="94">
        <v>3660</v>
      </c>
      <c r="C294" s="93">
        <f t="shared" si="4"/>
        <v>6.091249160144546</v>
      </c>
    </row>
    <row r="295" spans="1:3" x14ac:dyDescent="0.25">
      <c r="A295" s="95" t="s">
        <v>659</v>
      </c>
      <c r="B295" s="94">
        <v>3852</v>
      </c>
      <c r="C295" s="93">
        <f t="shared" si="4"/>
        <v>6.410790099693112</v>
      </c>
    </row>
    <row r="296" spans="1:3" x14ac:dyDescent="0.25">
      <c r="A296" s="95" t="s">
        <v>658</v>
      </c>
      <c r="B296" s="94">
        <v>3903</v>
      </c>
      <c r="C296" s="93">
        <f t="shared" si="4"/>
        <v>6.4956681617607002</v>
      </c>
    </row>
    <row r="297" spans="1:3" x14ac:dyDescent="0.25">
      <c r="A297" s="95" t="s">
        <v>657</v>
      </c>
      <c r="B297" s="94">
        <v>4095</v>
      </c>
      <c r="C297" s="93">
        <f t="shared" si="4"/>
        <v>6.8152091013092662</v>
      </c>
    </row>
    <row r="298" spans="1:3" x14ac:dyDescent="0.25">
      <c r="A298" s="95" t="s">
        <v>656</v>
      </c>
      <c r="B298" s="94">
        <v>4168</v>
      </c>
      <c r="C298" s="93">
        <f t="shared" si="4"/>
        <v>6.9367012293667942</v>
      </c>
    </row>
    <row r="299" spans="1:3" x14ac:dyDescent="0.25">
      <c r="A299" s="95" t="s">
        <v>655</v>
      </c>
      <c r="B299" s="94">
        <v>4220</v>
      </c>
      <c r="C299" s="93">
        <f t="shared" si="4"/>
        <v>7.023243567161197</v>
      </c>
    </row>
    <row r="300" spans="1:3" x14ac:dyDescent="0.25">
      <c r="A300" s="95" t="s">
        <v>654</v>
      </c>
      <c r="B300" s="94">
        <v>4272</v>
      </c>
      <c r="C300" s="93">
        <f t="shared" si="4"/>
        <v>7.1097859049556007</v>
      </c>
    </row>
    <row r="301" spans="1:3" x14ac:dyDescent="0.25">
      <c r="A301" s="95" t="s">
        <v>653</v>
      </c>
      <c r="B301" s="94">
        <v>4363</v>
      </c>
      <c r="C301" s="93">
        <f t="shared" si="4"/>
        <v>7.2612349960958067</v>
      </c>
    </row>
    <row r="302" spans="1:3" x14ac:dyDescent="0.25">
      <c r="A302" s="95" t="s">
        <v>652</v>
      </c>
      <c r="B302" s="94">
        <v>4371</v>
      </c>
      <c r="C302" s="93">
        <f t="shared" si="4"/>
        <v>7.2745492019103306</v>
      </c>
    </row>
    <row r="303" spans="1:3" x14ac:dyDescent="0.25">
      <c r="A303" s="95" t="s">
        <v>651</v>
      </c>
      <c r="B303" s="94">
        <v>4410</v>
      </c>
      <c r="C303" s="93">
        <f t="shared" si="4"/>
        <v>7.3394559552561329</v>
      </c>
    </row>
    <row r="304" spans="1:3" x14ac:dyDescent="0.25">
      <c r="A304" s="95" t="s">
        <v>650</v>
      </c>
      <c r="B304" s="94">
        <v>4663</v>
      </c>
      <c r="C304" s="93">
        <f t="shared" si="4"/>
        <v>7.760517714140442</v>
      </c>
    </row>
    <row r="305" spans="1:3" x14ac:dyDescent="0.25">
      <c r="A305" s="95" t="s">
        <v>649</v>
      </c>
      <c r="B305" s="94">
        <v>4686</v>
      </c>
      <c r="C305" s="93">
        <f t="shared" si="4"/>
        <v>7.7987960558571965</v>
      </c>
    </row>
    <row r="306" spans="1:3" x14ac:dyDescent="0.25">
      <c r="A306" s="95" t="s">
        <v>648</v>
      </c>
      <c r="B306" s="94">
        <v>4716</v>
      </c>
      <c r="C306" s="93">
        <f t="shared" si="4"/>
        <v>7.8487243276616603</v>
      </c>
    </row>
    <row r="307" spans="1:3" x14ac:dyDescent="0.25">
      <c r="A307" s="95" t="s">
        <v>647</v>
      </c>
      <c r="B307" s="94">
        <v>4717</v>
      </c>
      <c r="C307" s="93">
        <f t="shared" si="4"/>
        <v>7.8503886033884758</v>
      </c>
    </row>
    <row r="308" spans="1:3" x14ac:dyDescent="0.25">
      <c r="A308" s="95" t="s">
        <v>646</v>
      </c>
      <c r="B308" s="94">
        <v>4721</v>
      </c>
      <c r="C308" s="93">
        <f t="shared" si="4"/>
        <v>7.8570457062957377</v>
      </c>
    </row>
    <row r="309" spans="1:3" x14ac:dyDescent="0.25">
      <c r="A309" s="95" t="s">
        <v>645</v>
      </c>
      <c r="B309" s="94">
        <v>4745</v>
      </c>
      <c r="C309" s="93">
        <f t="shared" si="4"/>
        <v>7.8969883237393086</v>
      </c>
    </row>
    <row r="310" spans="1:3" x14ac:dyDescent="0.25">
      <c r="A310" s="95" t="s">
        <v>644</v>
      </c>
      <c r="B310" s="94">
        <v>4774</v>
      </c>
      <c r="C310" s="93">
        <f t="shared" si="4"/>
        <v>7.9452523198169569</v>
      </c>
    </row>
    <row r="311" spans="1:3" x14ac:dyDescent="0.25">
      <c r="A311" s="95" t="s">
        <v>643</v>
      </c>
      <c r="B311" s="94">
        <v>4808</v>
      </c>
      <c r="C311" s="93">
        <f t="shared" si="4"/>
        <v>8.0018376945286818</v>
      </c>
    </row>
    <row r="312" spans="1:3" x14ac:dyDescent="0.25">
      <c r="A312" s="95" t="s">
        <v>642</v>
      </c>
      <c r="B312" s="94">
        <v>4910</v>
      </c>
      <c r="C312" s="93">
        <f t="shared" si="4"/>
        <v>8.1715938186638581</v>
      </c>
    </row>
    <row r="313" spans="1:3" x14ac:dyDescent="0.25">
      <c r="A313" s="95" t="s">
        <v>641</v>
      </c>
      <c r="B313" s="94">
        <v>4924</v>
      </c>
      <c r="C313" s="93">
        <f t="shared" si="4"/>
        <v>8.1948936788392732</v>
      </c>
    </row>
    <row r="314" spans="1:3" x14ac:dyDescent="0.25">
      <c r="A314" s="95" t="s">
        <v>640</v>
      </c>
      <c r="B314" s="94">
        <v>4980</v>
      </c>
      <c r="C314" s="93">
        <f t="shared" si="4"/>
        <v>8.2880931195409389</v>
      </c>
    </row>
    <row r="315" spans="1:3" x14ac:dyDescent="0.25">
      <c r="A315" s="95" t="s">
        <v>639</v>
      </c>
      <c r="B315" s="94">
        <v>4999</v>
      </c>
      <c r="C315" s="93">
        <f t="shared" si="4"/>
        <v>8.3197143583504332</v>
      </c>
    </row>
    <row r="316" spans="1:3" x14ac:dyDescent="0.25">
      <c r="A316" s="95" t="s">
        <v>638</v>
      </c>
      <c r="B316" s="94">
        <v>5132</v>
      </c>
      <c r="C316" s="93">
        <f t="shared" si="4"/>
        <v>8.5410630300168879</v>
      </c>
    </row>
    <row r="317" spans="1:3" x14ac:dyDescent="0.25">
      <c r="A317" s="95" t="s">
        <v>637</v>
      </c>
      <c r="B317" s="94">
        <v>5134</v>
      </c>
      <c r="C317" s="93">
        <f t="shared" si="4"/>
        <v>8.5443915814705189</v>
      </c>
    </row>
    <row r="318" spans="1:3" x14ac:dyDescent="0.25">
      <c r="A318" s="95" t="s">
        <v>636</v>
      </c>
      <c r="B318" s="94">
        <v>5166</v>
      </c>
      <c r="C318" s="93">
        <f t="shared" si="4"/>
        <v>8.5976484047286128</v>
      </c>
    </row>
    <row r="319" spans="1:3" x14ac:dyDescent="0.25">
      <c r="A319" s="95" t="s">
        <v>635</v>
      </c>
      <c r="B319" s="94">
        <v>5186</v>
      </c>
      <c r="C319" s="93">
        <f t="shared" si="4"/>
        <v>8.6309339192649226</v>
      </c>
    </row>
    <row r="320" spans="1:3" x14ac:dyDescent="0.25">
      <c r="A320" s="95" t="s">
        <v>634</v>
      </c>
      <c r="B320" s="94">
        <v>5354</v>
      </c>
      <c r="C320" s="93">
        <f t="shared" si="4"/>
        <v>8.9105322413699177</v>
      </c>
    </row>
    <row r="321" spans="1:3" x14ac:dyDescent="0.25">
      <c r="A321" s="95" t="s">
        <v>633</v>
      </c>
      <c r="B321" s="94">
        <v>5388</v>
      </c>
      <c r="C321" s="93">
        <f t="shared" si="4"/>
        <v>8.9671176160816426</v>
      </c>
    </row>
    <row r="322" spans="1:3" x14ac:dyDescent="0.25">
      <c r="A322" s="95" t="s">
        <v>632</v>
      </c>
      <c r="B322" s="94">
        <v>5393</v>
      </c>
      <c r="C322" s="93">
        <f t="shared" si="4"/>
        <v>8.97543899471572</v>
      </c>
    </row>
    <row r="323" spans="1:3" x14ac:dyDescent="0.25">
      <c r="A323" s="95" t="s">
        <v>631</v>
      </c>
      <c r="B323" s="94">
        <v>5431</v>
      </c>
      <c r="C323" s="93">
        <f t="shared" si="4"/>
        <v>9.0386814723347069</v>
      </c>
    </row>
    <row r="324" spans="1:3" x14ac:dyDescent="0.25">
      <c r="A324" s="95" t="s">
        <v>630</v>
      </c>
      <c r="B324" s="94">
        <v>5638</v>
      </c>
      <c r="C324" s="93">
        <f t="shared" si="4"/>
        <v>9.3831865477855043</v>
      </c>
    </row>
    <row r="325" spans="1:3" x14ac:dyDescent="0.25">
      <c r="A325" s="95" t="s">
        <v>629</v>
      </c>
      <c r="B325" s="94">
        <v>5721</v>
      </c>
      <c r="C325" s="93">
        <f t="shared" si="4"/>
        <v>9.5213214331111882</v>
      </c>
    </row>
    <row r="326" spans="1:3" x14ac:dyDescent="0.25">
      <c r="A326" s="95" t="s">
        <v>628</v>
      </c>
      <c r="B326" s="94">
        <v>5804</v>
      </c>
      <c r="C326" s="93">
        <f t="shared" ref="C326:C365" si="5">B326*$H$3</f>
        <v>9.6594563184368702</v>
      </c>
    </row>
    <row r="327" spans="1:3" x14ac:dyDescent="0.25">
      <c r="A327" s="95" t="s">
        <v>627</v>
      </c>
      <c r="B327" s="94">
        <v>5985</v>
      </c>
      <c r="C327" s="93">
        <f t="shared" si="5"/>
        <v>9.9606902249904667</v>
      </c>
    </row>
    <row r="328" spans="1:3" x14ac:dyDescent="0.25">
      <c r="A328" s="95" t="s">
        <v>626</v>
      </c>
      <c r="B328" s="94">
        <v>5995</v>
      </c>
      <c r="C328" s="93">
        <f t="shared" si="5"/>
        <v>9.9773329822586199</v>
      </c>
    </row>
    <row r="329" spans="1:3" x14ac:dyDescent="0.25">
      <c r="A329" s="95" t="s">
        <v>625</v>
      </c>
      <c r="B329" s="94">
        <v>6161</v>
      </c>
      <c r="C329" s="93">
        <f t="shared" si="5"/>
        <v>10.253602752909986</v>
      </c>
    </row>
    <row r="330" spans="1:3" x14ac:dyDescent="0.25">
      <c r="A330" s="95" t="s">
        <v>624</v>
      </c>
      <c r="B330" s="94">
        <v>6195</v>
      </c>
      <c r="C330" s="93">
        <f t="shared" si="5"/>
        <v>10.310188127621711</v>
      </c>
    </row>
    <row r="331" spans="1:3" x14ac:dyDescent="0.25">
      <c r="A331" s="95" t="s">
        <v>623</v>
      </c>
      <c r="B331" s="94">
        <v>6197</v>
      </c>
      <c r="C331" s="93">
        <f t="shared" si="5"/>
        <v>10.313516679075342</v>
      </c>
    </row>
    <row r="332" spans="1:3" x14ac:dyDescent="0.25">
      <c r="A332" s="95" t="s">
        <v>622</v>
      </c>
      <c r="B332" s="94">
        <v>6442</v>
      </c>
      <c r="C332" s="93">
        <f t="shared" si="5"/>
        <v>10.721264232145126</v>
      </c>
    </row>
    <row r="333" spans="1:3" x14ac:dyDescent="0.25">
      <c r="A333" s="95" t="s">
        <v>621</v>
      </c>
      <c r="B333" s="94">
        <v>6519</v>
      </c>
      <c r="C333" s="93">
        <f t="shared" si="5"/>
        <v>10.849413463109917</v>
      </c>
    </row>
    <row r="334" spans="1:3" x14ac:dyDescent="0.25">
      <c r="A334" s="95" t="s">
        <v>620</v>
      </c>
      <c r="B334" s="94">
        <v>6819</v>
      </c>
      <c r="C334" s="93">
        <f t="shared" si="5"/>
        <v>11.348696181154551</v>
      </c>
    </row>
    <row r="335" spans="1:3" x14ac:dyDescent="0.25">
      <c r="A335" s="95" t="s">
        <v>619</v>
      </c>
      <c r="B335" s="94">
        <v>6831</v>
      </c>
      <c r="C335" s="93">
        <f t="shared" si="5"/>
        <v>11.368667489876337</v>
      </c>
    </row>
    <row r="336" spans="1:3" x14ac:dyDescent="0.25">
      <c r="A336" s="95" t="s">
        <v>618</v>
      </c>
      <c r="B336" s="94">
        <v>6924</v>
      </c>
      <c r="C336" s="93">
        <f t="shared" si="5"/>
        <v>11.523445132470172</v>
      </c>
    </row>
    <row r="337" spans="1:3" x14ac:dyDescent="0.25">
      <c r="A337" s="95" t="s">
        <v>617</v>
      </c>
      <c r="B337" s="94">
        <v>7130</v>
      </c>
      <c r="C337" s="93">
        <f t="shared" si="5"/>
        <v>11.866285932194156</v>
      </c>
    </row>
    <row r="338" spans="1:3" x14ac:dyDescent="0.25">
      <c r="A338" s="95" t="s">
        <v>616</v>
      </c>
      <c r="B338" s="94">
        <v>7353</v>
      </c>
      <c r="C338" s="93">
        <f t="shared" si="5"/>
        <v>12.237419419274001</v>
      </c>
    </row>
    <row r="339" spans="1:3" x14ac:dyDescent="0.25">
      <c r="A339" s="95" t="s">
        <v>615</v>
      </c>
      <c r="B339" s="94">
        <v>8926</v>
      </c>
      <c r="C339" s="93">
        <f t="shared" si="5"/>
        <v>14.855325137554704</v>
      </c>
    </row>
    <row r="340" spans="1:3" x14ac:dyDescent="0.25">
      <c r="A340" s="95" t="s">
        <v>614</v>
      </c>
      <c r="B340" s="94">
        <v>8976</v>
      </c>
      <c r="C340" s="93">
        <f t="shared" si="5"/>
        <v>14.938538923895475</v>
      </c>
    </row>
    <row r="341" spans="1:3" x14ac:dyDescent="0.25">
      <c r="A341" s="95" t="s">
        <v>613</v>
      </c>
      <c r="B341" s="94">
        <v>9073</v>
      </c>
      <c r="C341" s="93">
        <f t="shared" si="5"/>
        <v>15.099973669396574</v>
      </c>
    </row>
    <row r="342" spans="1:3" x14ac:dyDescent="0.25">
      <c r="A342" s="95" t="s">
        <v>612</v>
      </c>
      <c r="B342" s="94">
        <v>9339</v>
      </c>
      <c r="C342" s="93">
        <f t="shared" si="5"/>
        <v>15.542671012729484</v>
      </c>
    </row>
    <row r="343" spans="1:3" x14ac:dyDescent="0.25">
      <c r="A343" s="95" t="s">
        <v>611</v>
      </c>
      <c r="B343" s="94">
        <v>9670</v>
      </c>
      <c r="C343" s="93">
        <f t="shared" si="5"/>
        <v>16.093546278305396</v>
      </c>
    </row>
    <row r="344" spans="1:3" x14ac:dyDescent="0.25">
      <c r="A344" s="95" t="s">
        <v>610</v>
      </c>
      <c r="B344" s="94">
        <v>9876</v>
      </c>
      <c r="C344" s="93">
        <f t="shared" si="5"/>
        <v>16.43638707802938</v>
      </c>
    </row>
    <row r="345" spans="1:3" x14ac:dyDescent="0.25">
      <c r="A345" s="95" t="s">
        <v>609</v>
      </c>
      <c r="B345" s="94">
        <v>10076</v>
      </c>
      <c r="C345" s="93">
        <f t="shared" si="5"/>
        <v>16.769242223392471</v>
      </c>
    </row>
    <row r="346" spans="1:3" x14ac:dyDescent="0.25">
      <c r="A346" s="95" t="s">
        <v>608</v>
      </c>
      <c r="B346" s="94">
        <v>10347</v>
      </c>
      <c r="C346" s="93">
        <f t="shared" si="5"/>
        <v>17.220260945359456</v>
      </c>
    </row>
    <row r="347" spans="1:3" x14ac:dyDescent="0.25">
      <c r="A347" s="95" t="s">
        <v>607</v>
      </c>
      <c r="B347" s="94">
        <v>10673</v>
      </c>
      <c r="C347" s="93">
        <f t="shared" si="5"/>
        <v>17.762814832301295</v>
      </c>
    </row>
    <row r="348" spans="1:3" x14ac:dyDescent="0.25">
      <c r="A348" s="95" t="s">
        <v>606</v>
      </c>
      <c r="B348" s="94">
        <v>10888</v>
      </c>
      <c r="C348" s="93">
        <f t="shared" si="5"/>
        <v>18.120634113566616</v>
      </c>
    </row>
    <row r="349" spans="1:3" x14ac:dyDescent="0.25">
      <c r="A349" s="95" t="s">
        <v>605</v>
      </c>
      <c r="B349" s="94">
        <v>11591</v>
      </c>
      <c r="C349" s="93">
        <f t="shared" si="5"/>
        <v>19.290619949517875</v>
      </c>
    </row>
    <row r="350" spans="1:3" x14ac:dyDescent="0.25">
      <c r="A350" s="95" t="s">
        <v>604</v>
      </c>
      <c r="B350" s="94">
        <v>11856</v>
      </c>
      <c r="C350" s="93">
        <f t="shared" si="5"/>
        <v>19.731653017123971</v>
      </c>
    </row>
    <row r="351" spans="1:3" x14ac:dyDescent="0.25">
      <c r="A351" s="95" t="s">
        <v>603</v>
      </c>
      <c r="B351" s="94">
        <v>12238</v>
      </c>
      <c r="C351" s="93">
        <f t="shared" si="5"/>
        <v>20.367406344767474</v>
      </c>
    </row>
    <row r="352" spans="1:3" x14ac:dyDescent="0.25">
      <c r="A352" s="95" t="s">
        <v>602</v>
      </c>
      <c r="B352" s="94">
        <v>13080</v>
      </c>
      <c r="C352" s="93">
        <f t="shared" si="5"/>
        <v>21.768726506746081</v>
      </c>
    </row>
    <row r="353" spans="1:3" x14ac:dyDescent="0.25">
      <c r="A353" s="95" t="s">
        <v>601</v>
      </c>
      <c r="B353" s="94">
        <v>14470</v>
      </c>
      <c r="C353" s="93">
        <f t="shared" si="5"/>
        <v>24.082069767019554</v>
      </c>
    </row>
    <row r="354" spans="1:3" x14ac:dyDescent="0.25">
      <c r="A354" s="95" t="s">
        <v>600</v>
      </c>
      <c r="B354" s="94">
        <v>14684</v>
      </c>
      <c r="C354" s="93">
        <f t="shared" si="5"/>
        <v>24.438224772558062</v>
      </c>
    </row>
    <row r="355" spans="1:3" x14ac:dyDescent="0.25">
      <c r="A355" s="95" t="s">
        <v>599</v>
      </c>
      <c r="B355" s="94">
        <v>16113</v>
      </c>
      <c r="C355" s="93">
        <f t="shared" si="5"/>
        <v>26.816474786177341</v>
      </c>
    </row>
    <row r="356" spans="1:3" x14ac:dyDescent="0.25">
      <c r="A356" s="95" t="s">
        <v>598</v>
      </c>
      <c r="B356" s="94">
        <v>19848</v>
      </c>
      <c r="C356" s="93">
        <f t="shared" si="5"/>
        <v>33.032544625833047</v>
      </c>
    </row>
    <row r="357" spans="1:3" x14ac:dyDescent="0.25">
      <c r="A357" s="95" t="s">
        <v>597</v>
      </c>
      <c r="B357" s="94">
        <v>19970</v>
      </c>
      <c r="C357" s="93">
        <f t="shared" si="5"/>
        <v>33.235586264504526</v>
      </c>
    </row>
    <row r="358" spans="1:3" x14ac:dyDescent="0.25">
      <c r="A358" s="95" t="s">
        <v>596</v>
      </c>
      <c r="B358" s="94">
        <v>20524</v>
      </c>
      <c r="C358" s="93">
        <f t="shared" si="5"/>
        <v>34.15759501716029</v>
      </c>
    </row>
    <row r="359" spans="1:3" x14ac:dyDescent="0.25">
      <c r="A359" s="95" t="s">
        <v>595</v>
      </c>
      <c r="B359" s="94">
        <v>21972</v>
      </c>
      <c r="C359" s="93">
        <f t="shared" si="5"/>
        <v>36.567466269589062</v>
      </c>
    </row>
    <row r="360" spans="1:3" x14ac:dyDescent="0.25">
      <c r="A360" s="95" t="s">
        <v>594</v>
      </c>
      <c r="B360" s="94">
        <v>24715</v>
      </c>
      <c r="C360" s="93">
        <f t="shared" si="5"/>
        <v>41.132574588243834</v>
      </c>
    </row>
    <row r="361" spans="1:3" x14ac:dyDescent="0.25">
      <c r="A361" s="95" t="s">
        <v>593</v>
      </c>
      <c r="B361" s="94">
        <v>29199</v>
      </c>
      <c r="C361" s="93">
        <f t="shared" si="5"/>
        <v>48.595186947284311</v>
      </c>
    </row>
    <row r="362" spans="1:3" x14ac:dyDescent="0.25">
      <c r="A362" s="95" t="s">
        <v>592</v>
      </c>
      <c r="B362" s="94">
        <v>31303</v>
      </c>
      <c r="C362" s="93">
        <f t="shared" si="5"/>
        <v>52.096823076504016</v>
      </c>
    </row>
    <row r="363" spans="1:3" x14ac:dyDescent="0.25">
      <c r="A363" s="95" t="s">
        <v>591</v>
      </c>
      <c r="B363" s="94">
        <v>40202</v>
      </c>
      <c r="C363" s="93">
        <f t="shared" si="5"/>
        <v>66.907212769434707</v>
      </c>
    </row>
    <row r="364" spans="1:3" x14ac:dyDescent="0.25">
      <c r="A364" s="95" t="s">
        <v>590</v>
      </c>
      <c r="B364" s="94">
        <v>54760</v>
      </c>
      <c r="C364" s="93">
        <f t="shared" si="5"/>
        <v>91.135738800414018</v>
      </c>
    </row>
    <row r="365" spans="1:3" x14ac:dyDescent="0.25">
      <c r="A365" s="95" t="s">
        <v>589</v>
      </c>
      <c r="B365" s="94">
        <v>131594</v>
      </c>
      <c r="C365" s="93">
        <f t="shared" si="5"/>
        <v>219.00869999455227</v>
      </c>
    </row>
    <row r="367" spans="1:3" x14ac:dyDescent="0.25">
      <c r="A367" s="91" t="s">
        <v>535</v>
      </c>
    </row>
    <row r="368" spans="1:3" x14ac:dyDescent="0.25">
      <c r="A368" s="91" t="s">
        <v>588</v>
      </c>
    </row>
    <row r="370" spans="1:1" x14ac:dyDescent="0.25">
      <c r="A370" s="91" t="s">
        <v>535</v>
      </c>
    </row>
    <row r="371" spans="1:1" x14ac:dyDescent="0.25">
      <c r="A371" s="91" t="s">
        <v>587</v>
      </c>
    </row>
    <row r="372" spans="1:1" x14ac:dyDescent="0.25">
      <c r="A372" s="91" t="s">
        <v>582</v>
      </c>
    </row>
    <row r="374" spans="1:1" x14ac:dyDescent="0.25">
      <c r="A374" s="91" t="s">
        <v>535</v>
      </c>
    </row>
    <row r="375" spans="1:1" x14ac:dyDescent="0.25">
      <c r="A375" s="91" t="s">
        <v>586</v>
      </c>
    </row>
    <row r="376" spans="1:1" x14ac:dyDescent="0.25">
      <c r="A376" s="91" t="s">
        <v>584</v>
      </c>
    </row>
    <row r="378" spans="1:1" x14ac:dyDescent="0.25">
      <c r="A378" s="91" t="s">
        <v>535</v>
      </c>
    </row>
    <row r="379" spans="1:1" x14ac:dyDescent="0.25">
      <c r="A379" s="91" t="s">
        <v>585</v>
      </c>
    </row>
    <row r="380" spans="1:1" x14ac:dyDescent="0.25">
      <c r="A380" s="91" t="s">
        <v>584</v>
      </c>
    </row>
    <row r="382" spans="1:1" x14ac:dyDescent="0.25">
      <c r="A382" s="91" t="s">
        <v>535</v>
      </c>
    </row>
    <row r="383" spans="1:1" x14ac:dyDescent="0.25">
      <c r="A383" s="91" t="s">
        <v>583</v>
      </c>
    </row>
    <row r="384" spans="1:1" x14ac:dyDescent="0.25">
      <c r="A384" s="91" t="s">
        <v>582</v>
      </c>
    </row>
    <row r="386" spans="1:1" x14ac:dyDescent="0.25">
      <c r="A386" s="91" t="s">
        <v>535</v>
      </c>
    </row>
    <row r="387" spans="1:1" x14ac:dyDescent="0.25">
      <c r="A387" s="91" t="s">
        <v>581</v>
      </c>
    </row>
    <row r="388" spans="1:1" x14ac:dyDescent="0.25">
      <c r="A388" s="91" t="s">
        <v>579</v>
      </c>
    </row>
    <row r="390" spans="1:1" x14ac:dyDescent="0.25">
      <c r="A390" s="91" t="s">
        <v>535</v>
      </c>
    </row>
    <row r="391" spans="1:1" x14ac:dyDescent="0.25">
      <c r="A391" s="91" t="s">
        <v>580</v>
      </c>
    </row>
    <row r="392" spans="1:1" x14ac:dyDescent="0.25">
      <c r="A392" s="91" t="s">
        <v>577</v>
      </c>
    </row>
    <row r="394" spans="1:1" x14ac:dyDescent="0.25">
      <c r="A394" s="91" t="s">
        <v>535</v>
      </c>
    </row>
    <row r="395" spans="1:1" x14ac:dyDescent="0.25">
      <c r="A395" s="91" t="s">
        <v>578</v>
      </c>
    </row>
    <row r="396" spans="1:1" x14ac:dyDescent="0.25">
      <c r="A396" s="91" t="s">
        <v>579</v>
      </c>
    </row>
    <row r="398" spans="1:1" x14ac:dyDescent="0.25">
      <c r="A398" s="91" t="s">
        <v>535</v>
      </c>
    </row>
    <row r="399" spans="1:1" x14ac:dyDescent="0.25">
      <c r="A399" s="91" t="s">
        <v>578</v>
      </c>
    </row>
    <row r="400" spans="1:1" x14ac:dyDescent="0.25">
      <c r="A400" s="91" t="s">
        <v>577</v>
      </c>
    </row>
    <row r="402" spans="1:1" x14ac:dyDescent="0.25">
      <c r="A402" s="91" t="s">
        <v>535</v>
      </c>
    </row>
    <row r="403" spans="1:1" x14ac:dyDescent="0.25">
      <c r="A403" s="91" t="s">
        <v>576</v>
      </c>
    </row>
    <row r="404" spans="1:1" x14ac:dyDescent="0.25">
      <c r="A404" s="91" t="s">
        <v>574</v>
      </c>
    </row>
    <row r="406" spans="1:1" x14ac:dyDescent="0.25">
      <c r="A406" s="91" t="s">
        <v>535</v>
      </c>
    </row>
    <row r="407" spans="1:1" x14ac:dyDescent="0.25">
      <c r="A407" s="91" t="s">
        <v>575</v>
      </c>
    </row>
    <row r="408" spans="1:1" x14ac:dyDescent="0.25">
      <c r="A408" s="91" t="s">
        <v>574</v>
      </c>
    </row>
    <row r="410" spans="1:1" x14ac:dyDescent="0.25">
      <c r="A410" s="91" t="s">
        <v>535</v>
      </c>
    </row>
    <row r="411" spans="1:1" x14ac:dyDescent="0.25">
      <c r="A411" s="91" t="s">
        <v>573</v>
      </c>
    </row>
    <row r="412" spans="1:1" ht="285" x14ac:dyDescent="0.25">
      <c r="A412" s="92" t="s">
        <v>568</v>
      </c>
    </row>
    <row r="414" spans="1:1" x14ac:dyDescent="0.25">
      <c r="A414" s="91" t="s">
        <v>535</v>
      </c>
    </row>
    <row r="415" spans="1:1" x14ac:dyDescent="0.25">
      <c r="A415" s="91" t="s">
        <v>572</v>
      </c>
    </row>
    <row r="416" spans="1:1" x14ac:dyDescent="0.25">
      <c r="A416" s="91" t="s">
        <v>570</v>
      </c>
    </row>
    <row r="418" spans="1:1" x14ac:dyDescent="0.25">
      <c r="A418" s="91" t="s">
        <v>535</v>
      </c>
    </row>
    <row r="419" spans="1:1" x14ac:dyDescent="0.25">
      <c r="A419" s="91" t="s">
        <v>571</v>
      </c>
    </row>
    <row r="420" spans="1:1" x14ac:dyDescent="0.25">
      <c r="A420" s="91" t="s">
        <v>570</v>
      </c>
    </row>
    <row r="422" spans="1:1" x14ac:dyDescent="0.25">
      <c r="A422" s="91" t="s">
        <v>535</v>
      </c>
    </row>
    <row r="423" spans="1:1" x14ac:dyDescent="0.25">
      <c r="A423" s="91" t="s">
        <v>569</v>
      </c>
    </row>
    <row r="424" spans="1:1" ht="285" x14ac:dyDescent="0.25">
      <c r="A424" s="92" t="s">
        <v>568</v>
      </c>
    </row>
    <row r="426" spans="1:1" x14ac:dyDescent="0.25">
      <c r="A426" s="91" t="s">
        <v>535</v>
      </c>
    </row>
    <row r="427" spans="1:1" x14ac:dyDescent="0.25">
      <c r="A427" s="91" t="s">
        <v>567</v>
      </c>
    </row>
    <row r="428" spans="1:1" x14ac:dyDescent="0.25">
      <c r="A428" s="91" t="s">
        <v>559</v>
      </c>
    </row>
    <row r="430" spans="1:1" x14ac:dyDescent="0.25">
      <c r="A430" s="91" t="s">
        <v>535</v>
      </c>
    </row>
    <row r="431" spans="1:1" x14ac:dyDescent="0.25">
      <c r="A431" s="91" t="s">
        <v>566</v>
      </c>
    </row>
    <row r="432" spans="1:1" x14ac:dyDescent="0.25">
      <c r="A432" s="91" t="s">
        <v>564</v>
      </c>
    </row>
    <row r="434" spans="1:1" x14ac:dyDescent="0.25">
      <c r="A434" s="91" t="s">
        <v>535</v>
      </c>
    </row>
    <row r="435" spans="1:1" x14ac:dyDescent="0.25">
      <c r="A435" s="91" t="s">
        <v>565</v>
      </c>
    </row>
    <row r="436" spans="1:1" x14ac:dyDescent="0.25">
      <c r="A436" s="91" t="s">
        <v>564</v>
      </c>
    </row>
    <row r="438" spans="1:1" x14ac:dyDescent="0.25">
      <c r="A438" s="91" t="s">
        <v>535</v>
      </c>
    </row>
    <row r="439" spans="1:1" x14ac:dyDescent="0.25">
      <c r="A439" s="91" t="s">
        <v>563</v>
      </c>
    </row>
    <row r="440" spans="1:1" x14ac:dyDescent="0.25">
      <c r="A440" s="91" t="s">
        <v>561</v>
      </c>
    </row>
    <row r="442" spans="1:1" x14ac:dyDescent="0.25">
      <c r="A442" s="91" t="s">
        <v>535</v>
      </c>
    </row>
    <row r="443" spans="1:1" x14ac:dyDescent="0.25">
      <c r="A443" s="91" t="s">
        <v>562</v>
      </c>
    </row>
    <row r="444" spans="1:1" x14ac:dyDescent="0.25">
      <c r="A444" s="91" t="s">
        <v>561</v>
      </c>
    </row>
    <row r="446" spans="1:1" x14ac:dyDescent="0.25">
      <c r="A446" s="91" t="s">
        <v>535</v>
      </c>
    </row>
    <row r="447" spans="1:1" x14ac:dyDescent="0.25">
      <c r="A447" s="91" t="s">
        <v>560</v>
      </c>
    </row>
    <row r="448" spans="1:1" x14ac:dyDescent="0.25">
      <c r="A448" s="91" t="s">
        <v>559</v>
      </c>
    </row>
    <row r="450" spans="1:1" x14ac:dyDescent="0.25">
      <c r="A450" s="91" t="s">
        <v>535</v>
      </c>
    </row>
    <row r="451" spans="1:1" x14ac:dyDescent="0.25">
      <c r="A451" s="91" t="s">
        <v>558</v>
      </c>
    </row>
    <row r="452" spans="1:1" x14ac:dyDescent="0.25">
      <c r="A452" s="91" t="s">
        <v>555</v>
      </c>
    </row>
    <row r="454" spans="1:1" x14ac:dyDescent="0.25">
      <c r="A454" s="91" t="s">
        <v>535</v>
      </c>
    </row>
    <row r="455" spans="1:1" x14ac:dyDescent="0.25">
      <c r="A455" s="91" t="s">
        <v>558</v>
      </c>
    </row>
    <row r="456" spans="1:1" x14ac:dyDescent="0.25">
      <c r="A456" s="91" t="s">
        <v>551</v>
      </c>
    </row>
    <row r="458" spans="1:1" x14ac:dyDescent="0.25">
      <c r="A458" s="91" t="s">
        <v>535</v>
      </c>
    </row>
    <row r="459" spans="1:1" x14ac:dyDescent="0.25">
      <c r="A459" s="91" t="s">
        <v>557</v>
      </c>
    </row>
    <row r="460" spans="1:1" x14ac:dyDescent="0.25">
      <c r="A460" s="91" t="s">
        <v>553</v>
      </c>
    </row>
    <row r="462" spans="1:1" x14ac:dyDescent="0.25">
      <c r="A462" s="91" t="s">
        <v>535</v>
      </c>
    </row>
    <row r="463" spans="1:1" x14ac:dyDescent="0.25">
      <c r="A463" s="91" t="s">
        <v>556</v>
      </c>
    </row>
    <row r="464" spans="1:1" x14ac:dyDescent="0.25">
      <c r="A464" s="91" t="s">
        <v>555</v>
      </c>
    </row>
    <row r="466" spans="1:1" x14ac:dyDescent="0.25">
      <c r="A466" s="91" t="s">
        <v>535</v>
      </c>
    </row>
    <row r="467" spans="1:1" x14ac:dyDescent="0.25">
      <c r="A467" s="91" t="s">
        <v>554</v>
      </c>
    </row>
    <row r="468" spans="1:1" x14ac:dyDescent="0.25">
      <c r="A468" s="91" t="s">
        <v>553</v>
      </c>
    </row>
    <row r="470" spans="1:1" x14ac:dyDescent="0.25">
      <c r="A470" s="91" t="s">
        <v>535</v>
      </c>
    </row>
    <row r="471" spans="1:1" x14ac:dyDescent="0.25">
      <c r="A471" s="91" t="s">
        <v>552</v>
      </c>
    </row>
    <row r="472" spans="1:1" x14ac:dyDescent="0.25">
      <c r="A472" s="91" t="s">
        <v>551</v>
      </c>
    </row>
    <row r="474" spans="1:1" x14ac:dyDescent="0.25">
      <c r="A474" s="91" t="s">
        <v>535</v>
      </c>
    </row>
    <row r="475" spans="1:1" x14ac:dyDescent="0.25">
      <c r="A475" s="91" t="s">
        <v>550</v>
      </c>
    </row>
    <row r="476" spans="1:1" x14ac:dyDescent="0.25">
      <c r="A476" s="91" t="s">
        <v>549</v>
      </c>
    </row>
    <row r="478" spans="1:1" x14ac:dyDescent="0.25">
      <c r="A478" s="91" t="s">
        <v>535</v>
      </c>
    </row>
    <row r="479" spans="1:1" x14ac:dyDescent="0.25">
      <c r="A479" s="91" t="s">
        <v>548</v>
      </c>
    </row>
    <row r="480" spans="1:1" x14ac:dyDescent="0.25">
      <c r="A480" s="91" t="s">
        <v>545</v>
      </c>
    </row>
    <row r="482" spans="1:1" x14ac:dyDescent="0.25">
      <c r="A482" s="91" t="s">
        <v>535</v>
      </c>
    </row>
    <row r="483" spans="1:1" x14ac:dyDescent="0.25">
      <c r="A483" s="91" t="s">
        <v>547</v>
      </c>
    </row>
    <row r="484" spans="1:1" x14ac:dyDescent="0.25">
      <c r="A484" s="91" t="s">
        <v>539</v>
      </c>
    </row>
    <row r="486" spans="1:1" x14ac:dyDescent="0.25">
      <c r="A486" s="91" t="s">
        <v>535</v>
      </c>
    </row>
    <row r="487" spans="1:1" x14ac:dyDescent="0.25">
      <c r="A487" s="91" t="s">
        <v>546</v>
      </c>
    </row>
    <row r="488" spans="1:1" x14ac:dyDescent="0.25">
      <c r="A488" s="91" t="s">
        <v>545</v>
      </c>
    </row>
    <row r="490" spans="1:1" x14ac:dyDescent="0.25">
      <c r="A490" s="91" t="s">
        <v>535</v>
      </c>
    </row>
    <row r="491" spans="1:1" x14ac:dyDescent="0.25">
      <c r="A491" s="91" t="s">
        <v>544</v>
      </c>
    </row>
    <row r="492" spans="1:1" x14ac:dyDescent="0.25">
      <c r="A492" s="91" t="s">
        <v>541</v>
      </c>
    </row>
    <row r="494" spans="1:1" x14ac:dyDescent="0.25">
      <c r="A494" s="91" t="s">
        <v>535</v>
      </c>
    </row>
    <row r="495" spans="1:1" x14ac:dyDescent="0.25">
      <c r="A495" s="91" t="s">
        <v>543</v>
      </c>
    </row>
    <row r="496" spans="1:1" x14ac:dyDescent="0.25">
      <c r="A496" s="91" t="s">
        <v>541</v>
      </c>
    </row>
    <row r="498" spans="1:1" x14ac:dyDescent="0.25">
      <c r="A498" s="91" t="s">
        <v>535</v>
      </c>
    </row>
    <row r="499" spans="1:1" x14ac:dyDescent="0.25">
      <c r="A499" s="91" t="s">
        <v>542</v>
      </c>
    </row>
    <row r="500" spans="1:1" x14ac:dyDescent="0.25">
      <c r="A500" s="91" t="s">
        <v>541</v>
      </c>
    </row>
    <row r="502" spans="1:1" x14ac:dyDescent="0.25">
      <c r="A502" s="91" t="s">
        <v>535</v>
      </c>
    </row>
    <row r="503" spans="1:1" x14ac:dyDescent="0.25">
      <c r="A503" s="91" t="s">
        <v>540</v>
      </c>
    </row>
    <row r="504" spans="1:1" x14ac:dyDescent="0.25">
      <c r="A504" s="91" t="s">
        <v>539</v>
      </c>
    </row>
    <row r="506" spans="1:1" x14ac:dyDescent="0.25">
      <c r="A506" s="91" t="s">
        <v>535</v>
      </c>
    </row>
    <row r="507" spans="1:1" x14ac:dyDescent="0.25">
      <c r="A507" s="91" t="s">
        <v>538</v>
      </c>
    </row>
    <row r="508" spans="1:1" x14ac:dyDescent="0.25">
      <c r="A508" s="91" t="s">
        <v>536</v>
      </c>
    </row>
    <row r="510" spans="1:1" x14ac:dyDescent="0.25">
      <c r="A510" s="91" t="s">
        <v>535</v>
      </c>
    </row>
    <row r="511" spans="1:1" x14ac:dyDescent="0.25">
      <c r="A511" s="91" t="s">
        <v>537</v>
      </c>
    </row>
    <row r="512" spans="1:1" x14ac:dyDescent="0.25">
      <c r="A512" s="91" t="s">
        <v>536</v>
      </c>
    </row>
    <row r="514" spans="1:2" x14ac:dyDescent="0.25">
      <c r="A514" s="91" t="s">
        <v>535</v>
      </c>
    </row>
    <row r="515" spans="1:2" x14ac:dyDescent="0.25">
      <c r="A515" s="91" t="s">
        <v>534</v>
      </c>
    </row>
    <row r="516" spans="1:2" x14ac:dyDescent="0.25">
      <c r="A516" s="91" t="s">
        <v>533</v>
      </c>
    </row>
    <row r="518" spans="1:2" x14ac:dyDescent="0.25">
      <c r="A518" s="91" t="s">
        <v>532</v>
      </c>
    </row>
    <row r="519" spans="1:2" x14ac:dyDescent="0.25">
      <c r="A519" s="91" t="s">
        <v>531</v>
      </c>
    </row>
    <row r="520" spans="1:2" x14ac:dyDescent="0.25">
      <c r="A520" s="91" t="s">
        <v>530</v>
      </c>
    </row>
    <row r="521" spans="1:2" x14ac:dyDescent="0.25">
      <c r="A521" s="91" t="s">
        <v>529</v>
      </c>
    </row>
    <row r="524" spans="1:2" x14ac:dyDescent="0.25">
      <c r="A524" s="91" t="s">
        <v>528</v>
      </c>
      <c r="B524" s="91" t="s">
        <v>527</v>
      </c>
    </row>
    <row r="525" spans="1:2" x14ac:dyDescent="0.25">
      <c r="A525" s="91" t="s">
        <v>526</v>
      </c>
      <c r="B525" s="91" t="s">
        <v>525</v>
      </c>
    </row>
    <row r="526" spans="1:2" x14ac:dyDescent="0.25">
      <c r="A526" s="91" t="s">
        <v>524</v>
      </c>
      <c r="B526" s="91" t="s">
        <v>523</v>
      </c>
    </row>
    <row r="527" spans="1:2" x14ac:dyDescent="0.25">
      <c r="A527" s="91" t="s">
        <v>522</v>
      </c>
    </row>
    <row r="528" spans="1:2" x14ac:dyDescent="0.25">
      <c r="A528" s="91" t="s">
        <v>521</v>
      </c>
      <c r="B528" s="91" t="s">
        <v>520</v>
      </c>
    </row>
    <row r="529" spans="1:2" x14ac:dyDescent="0.25">
      <c r="A529" s="91" t="s">
        <v>519</v>
      </c>
      <c r="B529" s="91" t="s">
        <v>518</v>
      </c>
    </row>
    <row r="530" spans="1:2" x14ac:dyDescent="0.25">
      <c r="A530" s="91" t="s">
        <v>517</v>
      </c>
      <c r="B530" s="91" t="s">
        <v>516</v>
      </c>
    </row>
    <row r="531" spans="1:2" x14ac:dyDescent="0.25">
      <c r="A531" s="91" t="s">
        <v>515</v>
      </c>
      <c r="B531" s="91" t="s">
        <v>514</v>
      </c>
    </row>
  </sheetData>
  <autoFilter ref="A5:D5" xr:uid="{00000000-0001-0000-0000-000000000000}">
    <sortState xmlns:xlrd2="http://schemas.microsoft.com/office/spreadsheetml/2017/richdata2" ref="A6:D365">
      <sortCondition ref="B5:B365"/>
    </sortState>
  </autoFilter>
  <pageMargins left="0.75" right="0.75" top="0.75" bottom="0.5" header="0.5" footer="0.75"/>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C19"/>
  <sheetViews>
    <sheetView showGridLines="0" zoomScaleNormal="100" workbookViewId="0">
      <selection activeCell="B10" sqref="B10:C19"/>
    </sheetView>
  </sheetViews>
  <sheetFormatPr baseColWidth="10" defaultColWidth="9.140625" defaultRowHeight="15" x14ac:dyDescent="0.25"/>
  <cols>
    <col min="2" max="2" width="149.28515625" customWidth="1"/>
    <col min="3" max="3" width="40.7109375" customWidth="1"/>
  </cols>
  <sheetData>
    <row r="9" spans="2:3" ht="15.75" thickBot="1" x14ac:dyDescent="0.3"/>
    <row r="10" spans="2:3" ht="15.75" thickBot="1" x14ac:dyDescent="0.3">
      <c r="B10" s="60" t="s">
        <v>147</v>
      </c>
      <c r="C10" s="61"/>
    </row>
    <row r="11" spans="2:3" ht="15.75" thickBot="1" x14ac:dyDescent="0.3">
      <c r="B11" s="62" t="s">
        <v>69</v>
      </c>
      <c r="C11" s="63" t="s">
        <v>114</v>
      </c>
    </row>
    <row r="12" spans="2:3" x14ac:dyDescent="0.25">
      <c r="B12" s="73" t="s">
        <v>149</v>
      </c>
      <c r="C12" s="65">
        <f>ROUND('Overordnet tiltak'!F9,-5)</f>
        <v>6300000</v>
      </c>
    </row>
    <row r="13" spans="2:3" x14ac:dyDescent="0.25">
      <c r="B13" s="64" t="s">
        <v>8</v>
      </c>
      <c r="C13" s="65">
        <f>ROUND('T1 - Styrke lavterskel helsetj.'!F14,-5)</f>
        <v>180300000</v>
      </c>
    </row>
    <row r="14" spans="2:3" x14ac:dyDescent="0.25">
      <c r="B14" s="64" t="s">
        <v>68</v>
      </c>
      <c r="C14" s="65">
        <f>ROUNDUP('T2 - Foreldrestøttende tiltak'!F8,-5)</f>
        <v>192500000</v>
      </c>
    </row>
    <row r="15" spans="2:3" x14ac:dyDescent="0.25">
      <c r="B15" s="64" t="s">
        <v>148</v>
      </c>
      <c r="C15" s="65">
        <f>ROUND('T3 - BTI-modellen'!F11,-5)</f>
        <v>165300000</v>
      </c>
    </row>
    <row r="16" spans="2:3" x14ac:dyDescent="0.25">
      <c r="B16" s="64" t="s">
        <v>472</v>
      </c>
      <c r="C16" s="65">
        <f>ROUNDUP('T4 - Tydeliggjøre forventninger'!F11,-5)</f>
        <v>72100000</v>
      </c>
    </row>
    <row r="17" spans="2:3" x14ac:dyDescent="0.25">
      <c r="B17" s="66" t="s">
        <v>957</v>
      </c>
      <c r="C17" s="65">
        <f>ROUNDUP('T5 - Standardisering av praksis'!F7,-5)</f>
        <v>4200000</v>
      </c>
    </row>
    <row r="18" spans="2:3" x14ac:dyDescent="0.25">
      <c r="B18" s="66" t="s">
        <v>1034</v>
      </c>
      <c r="C18" s="65">
        <f>ROUNDUP('T6 - Styrke komp. fritid'!F13,-5)</f>
        <v>49400000</v>
      </c>
    </row>
    <row r="19" spans="2:3" ht="15.75" thickBot="1" x14ac:dyDescent="0.3">
      <c r="B19" s="67" t="s">
        <v>1035</v>
      </c>
      <c r="C19" s="68">
        <f>ROUNDUP('T7 - Implementere SKILLS'!F12,-5)</f>
        <v>83500000</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7603-D801-44F5-84A5-31D41A56CED4}">
  <dimension ref="A2:P451"/>
  <sheetViews>
    <sheetView showGridLines="0" topLeftCell="A107" zoomScale="80" zoomScaleNormal="80" workbookViewId="0">
      <selection activeCell="C121" sqref="C121"/>
    </sheetView>
  </sheetViews>
  <sheetFormatPr baseColWidth="10" defaultColWidth="9.140625" defaultRowHeight="15" x14ac:dyDescent="0.25"/>
  <cols>
    <col min="1" max="1" width="92.7109375" customWidth="1"/>
    <col min="2" max="2" width="25" customWidth="1"/>
    <col min="3" max="3" width="71" customWidth="1"/>
    <col min="4" max="4" width="11.42578125" bestFit="1" customWidth="1"/>
    <col min="5" max="5" width="30.140625" bestFit="1" customWidth="1"/>
    <col min="9" max="9" width="34.7109375" bestFit="1" customWidth="1"/>
    <col min="14" max="14" width="10.42578125" bestFit="1" customWidth="1"/>
  </cols>
  <sheetData>
    <row r="2" spans="1:16" ht="15.75" x14ac:dyDescent="0.25">
      <c r="A2" s="138"/>
      <c r="B2" s="138"/>
      <c r="C2" s="138"/>
    </row>
    <row r="3" spans="1:16" ht="21.75" thickBot="1" x14ac:dyDescent="0.4">
      <c r="A3" s="1" t="s">
        <v>0</v>
      </c>
      <c r="B3" s="1" t="s">
        <v>1</v>
      </c>
      <c r="C3" s="1" t="s">
        <v>2</v>
      </c>
    </row>
    <row r="5" spans="1:16" x14ac:dyDescent="0.25">
      <c r="A5" s="2" t="s">
        <v>29</v>
      </c>
    </row>
    <row r="6" spans="1:16" x14ac:dyDescent="0.25">
      <c r="A6" t="s">
        <v>34</v>
      </c>
      <c r="B6" s="20">
        <v>0.04</v>
      </c>
      <c r="C6" t="s">
        <v>36</v>
      </c>
    </row>
    <row r="7" spans="1:16" x14ac:dyDescent="0.25">
      <c r="A7" t="s">
        <v>482</v>
      </c>
      <c r="B7" s="20">
        <v>0.3</v>
      </c>
      <c r="C7" t="s">
        <v>483</v>
      </c>
    </row>
    <row r="8" spans="1:16" x14ac:dyDescent="0.25">
      <c r="A8" t="s">
        <v>484</v>
      </c>
      <c r="B8">
        <v>1700</v>
      </c>
    </row>
    <row r="9" spans="1:16" x14ac:dyDescent="0.25">
      <c r="A9" t="s">
        <v>958</v>
      </c>
      <c r="B9" s="20">
        <v>0.1</v>
      </c>
    </row>
    <row r="11" spans="1:16" x14ac:dyDescent="0.25">
      <c r="A11" s="2" t="s">
        <v>28</v>
      </c>
      <c r="B11" t="s">
        <v>485</v>
      </c>
      <c r="C11" t="s">
        <v>486</v>
      </c>
      <c r="D11" t="s">
        <v>487</v>
      </c>
      <c r="E11" t="s">
        <v>492</v>
      </c>
      <c r="F11" t="s">
        <v>488</v>
      </c>
    </row>
    <row r="12" spans="1:16" x14ac:dyDescent="0.25">
      <c r="A12" t="s">
        <v>32</v>
      </c>
      <c r="B12" s="13">
        <f>C12*(1+$B$7)</f>
        <v>477.78823529411761</v>
      </c>
      <c r="C12" s="59">
        <f>D12/$B$8</f>
        <v>367.52941176470586</v>
      </c>
      <c r="D12" s="59">
        <v>624800</v>
      </c>
      <c r="E12" t="s">
        <v>499</v>
      </c>
      <c r="F12" s="88" t="s">
        <v>489</v>
      </c>
      <c r="P12" s="12"/>
    </row>
    <row r="13" spans="1:16" x14ac:dyDescent="0.25">
      <c r="A13" t="s">
        <v>63</v>
      </c>
      <c r="B13" s="13">
        <f t="shared" ref="B13:B23" si="0">C13*(1+$B$7)</f>
        <v>535.63058823529411</v>
      </c>
      <c r="C13" s="59">
        <f t="shared" ref="C13:C23" si="1">D13/$B$8</f>
        <v>412.02352941176468</v>
      </c>
      <c r="D13" s="59">
        <f>58370*12</f>
        <v>700440</v>
      </c>
      <c r="E13" t="s">
        <v>504</v>
      </c>
      <c r="F13" s="88" t="s">
        <v>503</v>
      </c>
      <c r="P13" s="12"/>
    </row>
    <row r="14" spans="1:16" x14ac:dyDescent="0.25">
      <c r="A14" t="s">
        <v>435</v>
      </c>
      <c r="B14" s="13">
        <f t="shared" si="0"/>
        <v>513.42352941176478</v>
      </c>
      <c r="C14" s="59">
        <f t="shared" si="1"/>
        <v>394.94117647058823</v>
      </c>
      <c r="D14" s="59">
        <v>671400</v>
      </c>
      <c r="E14" t="s">
        <v>500</v>
      </c>
      <c r="F14" s="88" t="s">
        <v>489</v>
      </c>
      <c r="P14" s="12"/>
    </row>
    <row r="15" spans="1:16" x14ac:dyDescent="0.25">
      <c r="A15" t="s">
        <v>436</v>
      </c>
      <c r="B15" s="13">
        <f t="shared" si="0"/>
        <v>811.50894117647067</v>
      </c>
      <c r="C15" s="59">
        <f t="shared" si="1"/>
        <v>624.23764705882354</v>
      </c>
      <c r="D15" s="59">
        <f>(1012349+1110059)/2</f>
        <v>1061204</v>
      </c>
      <c r="E15" t="s">
        <v>498</v>
      </c>
      <c r="F15" s="88" t="s">
        <v>497</v>
      </c>
      <c r="P15" s="12"/>
    </row>
    <row r="16" spans="1:16" x14ac:dyDescent="0.25">
      <c r="A16" t="s">
        <v>41</v>
      </c>
      <c r="B16" s="13">
        <f t="shared" si="0"/>
        <v>748.98352941176472</v>
      </c>
      <c r="C16" s="59">
        <f t="shared" si="1"/>
        <v>576.14117647058822</v>
      </c>
      <c r="D16" s="59">
        <v>979440</v>
      </c>
      <c r="E16" t="s">
        <v>496</v>
      </c>
      <c r="F16" s="88" t="s">
        <v>495</v>
      </c>
    </row>
    <row r="17" spans="1:16" x14ac:dyDescent="0.25">
      <c r="A17" t="s">
        <v>105</v>
      </c>
      <c r="B17" s="13">
        <f t="shared" si="0"/>
        <v>454.69411764705882</v>
      </c>
      <c r="C17" s="59">
        <f t="shared" si="1"/>
        <v>349.76470588235293</v>
      </c>
      <c r="D17" s="59">
        <v>594600</v>
      </c>
      <c r="E17" t="s">
        <v>494</v>
      </c>
      <c r="F17" s="88" t="s">
        <v>491</v>
      </c>
    </row>
    <row r="18" spans="1:16" x14ac:dyDescent="0.25">
      <c r="A18" t="s">
        <v>452</v>
      </c>
      <c r="B18" s="13">
        <f t="shared" si="0"/>
        <v>641.71058823529415</v>
      </c>
      <c r="C18" s="59">
        <f t="shared" si="1"/>
        <v>493.62352941176471</v>
      </c>
      <c r="D18" s="59">
        <v>839160</v>
      </c>
      <c r="E18" t="s">
        <v>493</v>
      </c>
      <c r="F18" s="88" t="s">
        <v>491</v>
      </c>
    </row>
    <row r="19" spans="1:16" x14ac:dyDescent="0.25">
      <c r="A19" t="s">
        <v>196</v>
      </c>
      <c r="B19" s="13">
        <f t="shared" si="0"/>
        <v>516.26823529411763</v>
      </c>
      <c r="C19" s="59">
        <f t="shared" si="1"/>
        <v>397.12941176470588</v>
      </c>
      <c r="D19" s="59">
        <v>675120</v>
      </c>
      <c r="E19" t="s">
        <v>493</v>
      </c>
      <c r="F19" s="88" t="s">
        <v>491</v>
      </c>
    </row>
    <row r="20" spans="1:16" x14ac:dyDescent="0.25">
      <c r="A20" t="s">
        <v>437</v>
      </c>
      <c r="B20" s="13">
        <f t="shared" si="0"/>
        <v>1112.8764705882352</v>
      </c>
      <c r="C20" s="59">
        <f t="shared" si="1"/>
        <v>856.05882352941171</v>
      </c>
      <c r="D20" s="59">
        <v>1455300</v>
      </c>
      <c r="E20" t="s">
        <v>508</v>
      </c>
      <c r="F20" s="88" t="s">
        <v>505</v>
      </c>
    </row>
    <row r="21" spans="1:16" x14ac:dyDescent="0.25">
      <c r="A21" t="s">
        <v>135</v>
      </c>
      <c r="B21" s="13">
        <f t="shared" si="0"/>
        <v>731.54823529411772</v>
      </c>
      <c r="C21" s="59">
        <f t="shared" si="1"/>
        <v>562.7294117647059</v>
      </c>
      <c r="D21" s="59">
        <v>956640</v>
      </c>
      <c r="E21" t="s">
        <v>501</v>
      </c>
      <c r="F21" s="88" t="s">
        <v>491</v>
      </c>
    </row>
    <row r="22" spans="1:16" x14ac:dyDescent="0.25">
      <c r="A22" t="s">
        <v>98</v>
      </c>
      <c r="B22" s="13">
        <f t="shared" si="0"/>
        <v>1307.6470588235295</v>
      </c>
      <c r="C22" s="59">
        <f t="shared" si="1"/>
        <v>1005.8823529411765</v>
      </c>
      <c r="D22" s="59">
        <v>1710000</v>
      </c>
      <c r="E22" t="s">
        <v>502</v>
      </c>
      <c r="F22" s="88" t="s">
        <v>490</v>
      </c>
      <c r="P22" s="12"/>
    </row>
    <row r="23" spans="1:16" x14ac:dyDescent="0.25">
      <c r="A23" t="s">
        <v>166</v>
      </c>
      <c r="B23" s="13">
        <f t="shared" si="0"/>
        <v>375.96</v>
      </c>
      <c r="C23" s="59">
        <f t="shared" si="1"/>
        <v>289.2</v>
      </c>
      <c r="D23" s="59">
        <f>40970*12</f>
        <v>491640</v>
      </c>
      <c r="E23" t="s">
        <v>506</v>
      </c>
      <c r="F23" s="88" t="s">
        <v>507</v>
      </c>
      <c r="P23" s="12"/>
    </row>
    <row r="24" spans="1:16" x14ac:dyDescent="0.25">
      <c r="B24" s="13"/>
      <c r="C24" s="12"/>
    </row>
    <row r="25" spans="1:16" x14ac:dyDescent="0.25">
      <c r="B25" s="13"/>
      <c r="C25" s="12"/>
    </row>
    <row r="26" spans="1:16" ht="18.75" x14ac:dyDescent="0.3">
      <c r="A26" s="31" t="s">
        <v>438</v>
      </c>
      <c r="B26" s="13"/>
      <c r="C26" s="12"/>
    </row>
    <row r="27" spans="1:16" x14ac:dyDescent="0.25">
      <c r="A27" s="2" t="s">
        <v>434</v>
      </c>
      <c r="B27" s="13"/>
      <c r="C27" s="12"/>
      <c r="L27" s="89">
        <f>87670*12</f>
        <v>1052040</v>
      </c>
    </row>
    <row r="28" spans="1:16" x14ac:dyDescent="0.25">
      <c r="A28" t="s">
        <v>29</v>
      </c>
      <c r="B28" s="13"/>
      <c r="C28" s="12"/>
    </row>
    <row r="29" spans="1:16" x14ac:dyDescent="0.25">
      <c r="A29" t="s">
        <v>439</v>
      </c>
      <c r="B29" s="78">
        <v>5</v>
      </c>
      <c r="C29" s="12" t="s">
        <v>959</v>
      </c>
    </row>
    <row r="30" spans="1:16" x14ac:dyDescent="0.25">
      <c r="B30" s="13"/>
      <c r="C30" s="12"/>
    </row>
    <row r="31" spans="1:16" x14ac:dyDescent="0.25">
      <c r="A31" t="s">
        <v>30</v>
      </c>
      <c r="B31" s="13"/>
      <c r="C31" s="12"/>
    </row>
    <row r="32" spans="1:16" x14ac:dyDescent="0.25">
      <c r="A32" t="s">
        <v>440</v>
      </c>
      <c r="B32" s="13">
        <f>B29*B15*1700/2</f>
        <v>3448913.0000000005</v>
      </c>
      <c r="C32" s="12"/>
    </row>
    <row r="33" spans="1:3" x14ac:dyDescent="0.25">
      <c r="B33" s="13"/>
      <c r="C33" s="12"/>
    </row>
    <row r="34" spans="1:3" x14ac:dyDescent="0.25">
      <c r="A34" s="2" t="s">
        <v>962</v>
      </c>
      <c r="B34" s="13"/>
      <c r="C34" s="12"/>
    </row>
    <row r="35" spans="1:3" x14ac:dyDescent="0.25">
      <c r="A35" t="s">
        <v>29</v>
      </c>
      <c r="B35" s="13"/>
      <c r="C35" s="12"/>
    </row>
    <row r="36" spans="1:3" x14ac:dyDescent="0.25">
      <c r="A36" t="s">
        <v>107</v>
      </c>
      <c r="B36" s="78">
        <v>8</v>
      </c>
      <c r="C36" s="12" t="s">
        <v>964</v>
      </c>
    </row>
    <row r="37" spans="1:3" x14ac:dyDescent="0.25">
      <c r="A37" t="s">
        <v>963</v>
      </c>
      <c r="B37" s="78">
        <f>20*12</f>
        <v>240</v>
      </c>
      <c r="C37" s="12" t="s">
        <v>965</v>
      </c>
    </row>
    <row r="38" spans="1:3" x14ac:dyDescent="0.25">
      <c r="A38" t="s">
        <v>966</v>
      </c>
      <c r="B38" s="78">
        <f>B36*B37</f>
        <v>1920</v>
      </c>
      <c r="C38" s="12"/>
    </row>
    <row r="39" spans="1:3" x14ac:dyDescent="0.25">
      <c r="B39" s="13"/>
      <c r="C39" s="12"/>
    </row>
    <row r="40" spans="1:3" x14ac:dyDescent="0.25">
      <c r="A40" t="s">
        <v>30</v>
      </c>
      <c r="B40" s="13"/>
      <c r="C40" s="12"/>
    </row>
    <row r="41" spans="1:3" x14ac:dyDescent="0.25">
      <c r="A41" t="s">
        <v>441</v>
      </c>
      <c r="B41" s="13">
        <f>B38*B15</f>
        <v>1558097.1670588236</v>
      </c>
      <c r="C41" s="12"/>
    </row>
    <row r="42" spans="1:3" x14ac:dyDescent="0.25">
      <c r="C42" s="12"/>
    </row>
    <row r="43" spans="1:3" x14ac:dyDescent="0.25">
      <c r="A43" s="2" t="s">
        <v>960</v>
      </c>
      <c r="B43" s="13"/>
      <c r="C43" s="12"/>
    </row>
    <row r="44" spans="1:3" x14ac:dyDescent="0.25">
      <c r="A44" t="s">
        <v>29</v>
      </c>
      <c r="B44" s="13"/>
      <c r="C44" s="12"/>
    </row>
    <row r="45" spans="1:3" x14ac:dyDescent="0.25">
      <c r="A45" t="s">
        <v>960</v>
      </c>
      <c r="B45" s="13">
        <v>1000000</v>
      </c>
      <c r="C45" s="12" t="s">
        <v>961</v>
      </c>
    </row>
    <row r="46" spans="1:3" x14ac:dyDescent="0.25">
      <c r="B46" s="13"/>
      <c r="C46" s="12"/>
    </row>
    <row r="47" spans="1:3" x14ac:dyDescent="0.25">
      <c r="A47" t="s">
        <v>30</v>
      </c>
      <c r="B47" s="13"/>
      <c r="C47" s="12"/>
    </row>
    <row r="48" spans="1:3" x14ac:dyDescent="0.25">
      <c r="A48" t="s">
        <v>441</v>
      </c>
      <c r="B48" s="13">
        <f>B45</f>
        <v>1000000</v>
      </c>
      <c r="C48" s="12"/>
    </row>
    <row r="49" spans="1:3" x14ac:dyDescent="0.25">
      <c r="B49" s="13"/>
      <c r="C49" s="12"/>
    </row>
    <row r="50" spans="1:3" x14ac:dyDescent="0.25">
      <c r="B50" s="13"/>
      <c r="C50" s="12"/>
    </row>
    <row r="51" spans="1:3" ht="18.75" x14ac:dyDescent="0.3">
      <c r="A51" s="31" t="s">
        <v>89</v>
      </c>
    </row>
    <row r="52" spans="1:3" ht="15.75" x14ac:dyDescent="0.25">
      <c r="A52" s="30" t="s">
        <v>7</v>
      </c>
    </row>
    <row r="53" spans="1:3" x14ac:dyDescent="0.25">
      <c r="A53" s="2" t="s">
        <v>19</v>
      </c>
    </row>
    <row r="54" spans="1:3" x14ac:dyDescent="0.25">
      <c r="A54" t="s">
        <v>29</v>
      </c>
    </row>
    <row r="55" spans="1:3" x14ac:dyDescent="0.25">
      <c r="A55" t="s">
        <v>510</v>
      </c>
      <c r="B55">
        <v>600</v>
      </c>
      <c r="C55" t="s">
        <v>509</v>
      </c>
    </row>
    <row r="57" spans="1:3" x14ac:dyDescent="0.25">
      <c r="A57" t="s">
        <v>30</v>
      </c>
    </row>
    <row r="58" spans="1:3" x14ac:dyDescent="0.25">
      <c r="A58" t="s">
        <v>511</v>
      </c>
      <c r="B58" s="13">
        <f>B15*B55</f>
        <v>486905.36470588238</v>
      </c>
    </row>
    <row r="60" spans="1:3" x14ac:dyDescent="0.25">
      <c r="A60" s="2" t="s">
        <v>12</v>
      </c>
    </row>
    <row r="61" spans="1:3" x14ac:dyDescent="0.25">
      <c r="A61" t="s">
        <v>29</v>
      </c>
    </row>
    <row r="62" spans="1:3" x14ac:dyDescent="0.25">
      <c r="A62" t="s">
        <v>39</v>
      </c>
      <c r="B62">
        <f>37.5*3</f>
        <v>112.5</v>
      </c>
      <c r="C62" t="s">
        <v>191</v>
      </c>
    </row>
    <row r="63" spans="1:3" x14ac:dyDescent="0.25">
      <c r="A63" t="s">
        <v>40</v>
      </c>
      <c r="B63">
        <v>37.5</v>
      </c>
      <c r="C63" t="s">
        <v>190</v>
      </c>
    </row>
    <row r="65" spans="1:3" x14ac:dyDescent="0.25">
      <c r="A65" t="s">
        <v>30</v>
      </c>
    </row>
    <row r="66" spans="1:3" x14ac:dyDescent="0.25">
      <c r="A66" t="s">
        <v>42</v>
      </c>
      <c r="B66" s="13">
        <f>B62*B16</f>
        <v>84260.647058823524</v>
      </c>
    </row>
    <row r="67" spans="1:3" x14ac:dyDescent="0.25">
      <c r="A67" t="s">
        <v>43</v>
      </c>
      <c r="B67" s="14">
        <f>B63*B16</f>
        <v>28086.882352941178</v>
      </c>
    </row>
    <row r="70" spans="1:3" x14ac:dyDescent="0.25">
      <c r="A70" s="2" t="s">
        <v>44</v>
      </c>
    </row>
    <row r="71" spans="1:3" x14ac:dyDescent="0.25">
      <c r="A71" t="s">
        <v>29</v>
      </c>
    </row>
    <row r="72" spans="1:3" x14ac:dyDescent="0.25">
      <c r="A72" t="s">
        <v>45</v>
      </c>
      <c r="B72">
        <v>2</v>
      </c>
      <c r="C72" t="s">
        <v>47</v>
      </c>
    </row>
    <row r="73" spans="1:3" x14ac:dyDescent="0.25">
      <c r="A73" t="s">
        <v>46</v>
      </c>
      <c r="B73">
        <v>1740</v>
      </c>
      <c r="C73" t="s">
        <v>65</v>
      </c>
    </row>
    <row r="74" spans="1:3" x14ac:dyDescent="0.25">
      <c r="A74" t="s">
        <v>48</v>
      </c>
      <c r="B74" s="32">
        <v>0.14499999999999999</v>
      </c>
      <c r="C74" t="s">
        <v>66</v>
      </c>
    </row>
    <row r="76" spans="1:3" x14ac:dyDescent="0.25">
      <c r="A76" t="s">
        <v>30</v>
      </c>
    </row>
    <row r="77" spans="1:3" x14ac:dyDescent="0.25">
      <c r="A77" t="s">
        <v>512</v>
      </c>
      <c r="B77" s="14">
        <f>B72*B73*B12</f>
        <v>1662703.0588235294</v>
      </c>
    </row>
    <row r="78" spans="1:3" x14ac:dyDescent="0.25">
      <c r="A78" t="s">
        <v>50</v>
      </c>
      <c r="B78" s="14">
        <f>B77*B74</f>
        <v>241091.94352941174</v>
      </c>
    </row>
    <row r="80" spans="1:3" ht="15.75" x14ac:dyDescent="0.25">
      <c r="A80" s="30" t="s">
        <v>10</v>
      </c>
    </row>
    <row r="81" spans="1:3" x14ac:dyDescent="0.25">
      <c r="A81" s="2" t="s">
        <v>52</v>
      </c>
    </row>
    <row r="82" spans="1:3" x14ac:dyDescent="0.25">
      <c r="A82" t="s">
        <v>29</v>
      </c>
    </row>
    <row r="83" spans="1:3" x14ac:dyDescent="0.25">
      <c r="A83" t="s">
        <v>53</v>
      </c>
      <c r="B83">
        <v>600</v>
      </c>
      <c r="C83" t="s">
        <v>968</v>
      </c>
    </row>
    <row r="85" spans="1:3" x14ac:dyDescent="0.25">
      <c r="A85" t="s">
        <v>30</v>
      </c>
    </row>
    <row r="86" spans="1:3" x14ac:dyDescent="0.25">
      <c r="A86" t="s">
        <v>54</v>
      </c>
      <c r="B86" s="14">
        <f>B83*B15</f>
        <v>486905.36470588238</v>
      </c>
    </row>
    <row r="89" spans="1:3" x14ac:dyDescent="0.25">
      <c r="A89" s="2" t="s">
        <v>20</v>
      </c>
    </row>
    <row r="90" spans="1:3" x14ac:dyDescent="0.25">
      <c r="A90" t="s">
        <v>29</v>
      </c>
    </row>
    <row r="91" spans="1:3" x14ac:dyDescent="0.25">
      <c r="A91" t="s">
        <v>39</v>
      </c>
      <c r="B91">
        <f>37.5*3</f>
        <v>112.5</v>
      </c>
      <c r="C91" t="s">
        <v>191</v>
      </c>
    </row>
    <row r="92" spans="1:3" x14ac:dyDescent="0.25">
      <c r="A92" t="s">
        <v>40</v>
      </c>
      <c r="B92">
        <v>37.5</v>
      </c>
      <c r="C92" t="s">
        <v>192</v>
      </c>
    </row>
    <row r="94" spans="1:3" x14ac:dyDescent="0.25">
      <c r="A94" t="s">
        <v>30</v>
      </c>
    </row>
    <row r="95" spans="1:3" x14ac:dyDescent="0.25">
      <c r="A95" t="s">
        <v>42</v>
      </c>
      <c r="B95" s="14">
        <f>B91*B16</f>
        <v>84260.647058823524</v>
      </c>
    </row>
    <row r="96" spans="1:3" x14ac:dyDescent="0.25">
      <c r="A96" t="s">
        <v>43</v>
      </c>
      <c r="B96" s="14">
        <f>B92*B16</f>
        <v>28086.882352941178</v>
      </c>
    </row>
    <row r="98" spans="1:3" x14ac:dyDescent="0.25">
      <c r="A98" s="2" t="s">
        <v>44</v>
      </c>
    </row>
    <row r="99" spans="1:3" x14ac:dyDescent="0.25">
      <c r="A99" t="s">
        <v>29</v>
      </c>
    </row>
    <row r="100" spans="1:3" x14ac:dyDescent="0.25">
      <c r="A100" t="s">
        <v>45</v>
      </c>
      <c r="B100">
        <v>2</v>
      </c>
      <c r="C100" t="s">
        <v>47</v>
      </c>
    </row>
    <row r="101" spans="1:3" x14ac:dyDescent="0.25">
      <c r="A101" t="s">
        <v>46</v>
      </c>
      <c r="B101">
        <v>1100</v>
      </c>
      <c r="C101" t="s">
        <v>67</v>
      </c>
    </row>
    <row r="102" spans="1:3" x14ac:dyDescent="0.25">
      <c r="A102" t="s">
        <v>48</v>
      </c>
      <c r="B102" s="32">
        <v>0.14499999999999999</v>
      </c>
      <c r="C102" t="s">
        <v>66</v>
      </c>
    </row>
    <row r="104" spans="1:3" x14ac:dyDescent="0.25">
      <c r="A104" t="s">
        <v>30</v>
      </c>
    </row>
    <row r="105" spans="1:3" x14ac:dyDescent="0.25">
      <c r="A105" t="s">
        <v>49</v>
      </c>
      <c r="B105" s="14">
        <f>B100*B101*B12</f>
        <v>1051134.1176470588</v>
      </c>
    </row>
    <row r="106" spans="1:3" x14ac:dyDescent="0.25">
      <c r="A106" t="s">
        <v>50</v>
      </c>
      <c r="B106" s="14">
        <f>B105*B102</f>
        <v>152414.44705882351</v>
      </c>
    </row>
    <row r="108" spans="1:3" ht="15.75" x14ac:dyDescent="0.25">
      <c r="A108" s="30" t="s">
        <v>51</v>
      </c>
    </row>
    <row r="109" spans="1:3" x14ac:dyDescent="0.25">
      <c r="A109" s="2" t="s">
        <v>25</v>
      </c>
    </row>
    <row r="110" spans="1:3" x14ac:dyDescent="0.25">
      <c r="A110" t="s">
        <v>29</v>
      </c>
    </row>
    <row r="111" spans="1:3" x14ac:dyDescent="0.25">
      <c r="A111" t="s">
        <v>29</v>
      </c>
    </row>
    <row r="112" spans="1:3" x14ac:dyDescent="0.25">
      <c r="A112" t="s">
        <v>55</v>
      </c>
      <c r="B112">
        <v>600</v>
      </c>
      <c r="C112" t="s">
        <v>968</v>
      </c>
    </row>
    <row r="114" spans="1:14" x14ac:dyDescent="0.25">
      <c r="A114" t="s">
        <v>30</v>
      </c>
    </row>
    <row r="115" spans="1:14" x14ac:dyDescent="0.25">
      <c r="A115" t="s">
        <v>513</v>
      </c>
      <c r="B115" s="13">
        <f>B112*B15</f>
        <v>486905.36470588238</v>
      </c>
      <c r="N115" s="72"/>
    </row>
    <row r="116" spans="1:14" x14ac:dyDescent="0.25">
      <c r="N116" s="72"/>
    </row>
    <row r="117" spans="1:14" x14ac:dyDescent="0.25">
      <c r="A117" s="2" t="s">
        <v>26</v>
      </c>
      <c r="N117" s="72"/>
    </row>
    <row r="118" spans="1:14" x14ac:dyDescent="0.25">
      <c r="A118" t="s">
        <v>29</v>
      </c>
    </row>
    <row r="119" spans="1:14" x14ac:dyDescent="0.25">
      <c r="A119" t="s">
        <v>56</v>
      </c>
      <c r="B119">
        <v>28665</v>
      </c>
      <c r="C119" t="s">
        <v>57</v>
      </c>
    </row>
    <row r="120" spans="1:14" x14ac:dyDescent="0.25">
      <c r="A120" t="s">
        <v>58</v>
      </c>
      <c r="B120">
        <v>78575</v>
      </c>
      <c r="C120" t="s">
        <v>59</v>
      </c>
    </row>
    <row r="121" spans="1:14" x14ac:dyDescent="0.25">
      <c r="A121" t="s">
        <v>60</v>
      </c>
      <c r="B121">
        <v>2500</v>
      </c>
      <c r="C121" t="s">
        <v>974</v>
      </c>
    </row>
    <row r="122" spans="1:14" x14ac:dyDescent="0.25">
      <c r="A122" t="s">
        <v>61</v>
      </c>
      <c r="B122">
        <v>2</v>
      </c>
      <c r="C122" t="s">
        <v>62</v>
      </c>
    </row>
    <row r="123" spans="1:14" x14ac:dyDescent="0.25">
      <c r="A123" t="s">
        <v>48</v>
      </c>
      <c r="B123" s="32">
        <f>B102</f>
        <v>0.14499999999999999</v>
      </c>
      <c r="C123" t="s">
        <v>66</v>
      </c>
    </row>
    <row r="125" spans="1:14" x14ac:dyDescent="0.25">
      <c r="A125" t="s">
        <v>30</v>
      </c>
    </row>
    <row r="126" spans="1:14" x14ac:dyDescent="0.25">
      <c r="A126" t="s">
        <v>64</v>
      </c>
      <c r="B126" s="14">
        <f>(B119+B120+B121)*B122*B13</f>
        <v>117560201.50588235</v>
      </c>
    </row>
    <row r="127" spans="1:14" x14ac:dyDescent="0.25">
      <c r="A127" t="s">
        <v>396</v>
      </c>
      <c r="B127" s="14">
        <f>B123*B126</f>
        <v>17046229.21835294</v>
      </c>
    </row>
    <row r="129" spans="1:14" x14ac:dyDescent="0.25">
      <c r="A129" s="2" t="s">
        <v>27</v>
      </c>
    </row>
    <row r="130" spans="1:14" x14ac:dyDescent="0.25">
      <c r="A130" t="s">
        <v>29</v>
      </c>
      <c r="B130" s="32">
        <v>0.14499999999999999</v>
      </c>
      <c r="C130" t="s">
        <v>66</v>
      </c>
    </row>
    <row r="131" spans="1:14" x14ac:dyDescent="0.25">
      <c r="A131" t="s">
        <v>61</v>
      </c>
      <c r="B131">
        <v>2</v>
      </c>
      <c r="C131" t="s">
        <v>62</v>
      </c>
    </row>
    <row r="132" spans="1:14" x14ac:dyDescent="0.25">
      <c r="N132" s="72"/>
    </row>
    <row r="133" spans="1:14" x14ac:dyDescent="0.25">
      <c r="A133" t="s">
        <v>30</v>
      </c>
      <c r="N133" s="72"/>
    </row>
    <row r="134" spans="1:14" x14ac:dyDescent="0.25">
      <c r="A134" t="s">
        <v>396</v>
      </c>
      <c r="B134" s="14">
        <f>B130*B126</f>
        <v>17046229.21835294</v>
      </c>
      <c r="N134" s="72"/>
    </row>
    <row r="136" spans="1:14" x14ac:dyDescent="0.25">
      <c r="B136" s="14"/>
    </row>
    <row r="137" spans="1:14" ht="18.75" x14ac:dyDescent="0.3">
      <c r="A137" s="31" t="s">
        <v>99</v>
      </c>
      <c r="B137" s="14"/>
    </row>
    <row r="138" spans="1:14" ht="15.75" x14ac:dyDescent="0.25">
      <c r="A138" s="30" t="s">
        <v>35</v>
      </c>
      <c r="B138" s="14"/>
    </row>
    <row r="139" spans="1:14" x14ac:dyDescent="0.25">
      <c r="A139" t="s">
        <v>999</v>
      </c>
      <c r="B139">
        <v>8</v>
      </c>
      <c r="C139" t="s">
        <v>165</v>
      </c>
    </row>
    <row r="140" spans="1:14" x14ac:dyDescent="0.25">
      <c r="A140" t="s">
        <v>1000</v>
      </c>
      <c r="B140" s="14">
        <v>350000</v>
      </c>
      <c r="C140" t="s">
        <v>1001</v>
      </c>
    </row>
    <row r="141" spans="1:14" x14ac:dyDescent="0.25">
      <c r="A141" t="s">
        <v>1003</v>
      </c>
      <c r="B141" s="14">
        <f>D15</f>
        <v>1061204</v>
      </c>
      <c r="C141" t="s">
        <v>1002</v>
      </c>
    </row>
    <row r="142" spans="1:14" x14ac:dyDescent="0.25">
      <c r="B142" s="14"/>
    </row>
    <row r="143" spans="1:14" x14ac:dyDescent="0.25">
      <c r="A143" t="s">
        <v>30</v>
      </c>
      <c r="B143" s="14"/>
    </row>
    <row r="144" spans="1:14" x14ac:dyDescent="0.25">
      <c r="A144" t="s">
        <v>1004</v>
      </c>
      <c r="B144" s="14">
        <f>B139*B140</f>
        <v>2800000</v>
      </c>
    </row>
    <row r="145" spans="1:4" x14ac:dyDescent="0.25">
      <c r="A145" t="s">
        <v>1005</v>
      </c>
      <c r="B145" s="14">
        <f>B144+B141</f>
        <v>3861204</v>
      </c>
    </row>
    <row r="146" spans="1:4" x14ac:dyDescent="0.25">
      <c r="A146" s="2"/>
      <c r="B146" s="14"/>
    </row>
    <row r="147" spans="1:4" ht="15.75" x14ac:dyDescent="0.25">
      <c r="A147" s="30" t="s">
        <v>38</v>
      </c>
      <c r="B147" s="14"/>
    </row>
    <row r="148" spans="1:4" x14ac:dyDescent="0.25">
      <c r="A148" s="2" t="s">
        <v>37</v>
      </c>
      <c r="B148" s="14"/>
    </row>
    <row r="149" spans="1:4" x14ac:dyDescent="0.25">
      <c r="A149" t="s">
        <v>29</v>
      </c>
      <c r="B149" s="14"/>
    </row>
    <row r="150" spans="1:4" x14ac:dyDescent="0.25">
      <c r="A150" t="s">
        <v>100</v>
      </c>
      <c r="B150">
        <v>2</v>
      </c>
      <c r="C150" t="s">
        <v>101</v>
      </c>
    </row>
    <row r="151" spans="1:4" x14ac:dyDescent="0.25">
      <c r="A151" t="s">
        <v>102</v>
      </c>
      <c r="B151">
        <v>357</v>
      </c>
      <c r="C151" t="s">
        <v>103</v>
      </c>
    </row>
    <row r="153" spans="1:4" x14ac:dyDescent="0.25">
      <c r="A153" t="s">
        <v>30</v>
      </c>
      <c r="B153" s="14"/>
    </row>
    <row r="154" spans="1:4" x14ac:dyDescent="0.25">
      <c r="A154" t="s">
        <v>104</v>
      </c>
      <c r="B154" s="14">
        <f>B151*B150*B15</f>
        <v>579417.38400000008</v>
      </c>
    </row>
    <row r="155" spans="1:4" x14ac:dyDescent="0.25">
      <c r="A155" s="2"/>
      <c r="B155" s="14"/>
    </row>
    <row r="156" spans="1:4" x14ac:dyDescent="0.25">
      <c r="A156" s="2" t="s">
        <v>1006</v>
      </c>
      <c r="B156" s="14"/>
    </row>
    <row r="157" spans="1:4" x14ac:dyDescent="0.25">
      <c r="A157" t="s">
        <v>1007</v>
      </c>
      <c r="B157" s="59">
        <v>1101380</v>
      </c>
      <c r="C157" s="88" t="s">
        <v>1008</v>
      </c>
      <c r="D157" s="88" t="s">
        <v>1010</v>
      </c>
    </row>
    <row r="158" spans="1:4" x14ac:dyDescent="0.25">
      <c r="A158" t="s">
        <v>1009</v>
      </c>
      <c r="B158" s="104">
        <v>0.06</v>
      </c>
      <c r="C158" t="s">
        <v>1011</v>
      </c>
    </row>
    <row r="159" spans="1:4" x14ac:dyDescent="0.25">
      <c r="A159" t="s">
        <v>1012</v>
      </c>
      <c r="B159" s="104">
        <v>0.5</v>
      </c>
      <c r="C159" t="s">
        <v>1013</v>
      </c>
    </row>
    <row r="160" spans="1:4" x14ac:dyDescent="0.25">
      <c r="A160" t="s">
        <v>1014</v>
      </c>
      <c r="B160" s="59">
        <f>'0-17 år per kommune'!G9/2</f>
        <v>1835.6333333333334</v>
      </c>
      <c r="C160" t="s">
        <v>1020</v>
      </c>
    </row>
    <row r="161" spans="1:3" x14ac:dyDescent="0.25">
      <c r="A161" t="s">
        <v>1021</v>
      </c>
      <c r="B161" s="59">
        <v>39</v>
      </c>
      <c r="C161" t="s">
        <v>1022</v>
      </c>
    </row>
    <row r="162" spans="1:3" x14ac:dyDescent="0.25">
      <c r="A162" t="s">
        <v>1023</v>
      </c>
      <c r="B162" s="59">
        <v>40</v>
      </c>
      <c r="C162" t="s">
        <v>1024</v>
      </c>
    </row>
    <row r="163" spans="1:3" x14ac:dyDescent="0.25">
      <c r="A163" t="s">
        <v>1025</v>
      </c>
      <c r="B163" s="59">
        <v>18</v>
      </c>
      <c r="C163" t="s">
        <v>1026</v>
      </c>
    </row>
    <row r="164" spans="1:3" x14ac:dyDescent="0.25">
      <c r="A164" t="s">
        <v>1027</v>
      </c>
      <c r="B164" s="59">
        <v>2</v>
      </c>
      <c r="C164" t="s">
        <v>1028</v>
      </c>
    </row>
    <row r="165" spans="1:3" x14ac:dyDescent="0.25">
      <c r="A165" t="s">
        <v>1029</v>
      </c>
      <c r="B165" s="20">
        <v>0.5</v>
      </c>
      <c r="C165" t="s">
        <v>165</v>
      </c>
    </row>
    <row r="166" spans="1:3" x14ac:dyDescent="0.25">
      <c r="A166" t="s">
        <v>1030</v>
      </c>
      <c r="B166" s="59">
        <f>B165*B164*(B161+B162)</f>
        <v>79</v>
      </c>
    </row>
    <row r="167" spans="1:3" x14ac:dyDescent="0.25">
      <c r="A167" s="2" t="s">
        <v>1031</v>
      </c>
      <c r="B167" s="14">
        <f>B166*B12*B8</f>
        <v>64166959.999999993</v>
      </c>
      <c r="C167" t="s">
        <v>1032</v>
      </c>
    </row>
    <row r="168" spans="1:3" x14ac:dyDescent="0.25">
      <c r="A168" s="2"/>
      <c r="B168" s="59"/>
    </row>
    <row r="169" spans="1:3" x14ac:dyDescent="0.25">
      <c r="B169" s="14"/>
    </row>
    <row r="170" spans="1:3" ht="18.75" x14ac:dyDescent="0.3">
      <c r="A170" s="31" t="s">
        <v>389</v>
      </c>
      <c r="B170" s="14"/>
    </row>
    <row r="171" spans="1:3" x14ac:dyDescent="0.25">
      <c r="A171" t="s">
        <v>390</v>
      </c>
      <c r="B171" s="14"/>
    </row>
    <row r="172" spans="1:3" x14ac:dyDescent="0.25">
      <c r="A172" s="14" t="s">
        <v>397</v>
      </c>
      <c r="B172">
        <v>181</v>
      </c>
    </row>
    <row r="173" spans="1:3" x14ac:dyDescent="0.25">
      <c r="A173" s="14" t="s">
        <v>398</v>
      </c>
      <c r="B173">
        <f>357-B172</f>
        <v>176</v>
      </c>
    </row>
    <row r="174" spans="1:3" x14ac:dyDescent="0.25">
      <c r="A174" s="14"/>
    </row>
    <row r="175" spans="1:3" x14ac:dyDescent="0.25">
      <c r="A175" s="2" t="s">
        <v>394</v>
      </c>
    </row>
    <row r="176" spans="1:3" x14ac:dyDescent="0.25">
      <c r="A176" t="s">
        <v>29</v>
      </c>
    </row>
    <row r="177" spans="1:3" x14ac:dyDescent="0.25">
      <c r="A177" t="s">
        <v>399</v>
      </c>
      <c r="B177">
        <v>4</v>
      </c>
    </row>
    <row r="178" spans="1:3" x14ac:dyDescent="0.25">
      <c r="A178" t="s">
        <v>400</v>
      </c>
      <c r="B178">
        <v>6</v>
      </c>
    </row>
    <row r="179" spans="1:3" x14ac:dyDescent="0.25">
      <c r="A179" t="s">
        <v>108</v>
      </c>
      <c r="B179">
        <v>3</v>
      </c>
    </row>
    <row r="180" spans="1:3" x14ac:dyDescent="0.25">
      <c r="A180" t="s">
        <v>109</v>
      </c>
      <c r="B180">
        <f>B177*B178*B179</f>
        <v>72</v>
      </c>
    </row>
    <row r="181" spans="1:3" x14ac:dyDescent="0.25">
      <c r="B181" s="14"/>
    </row>
    <row r="182" spans="1:3" x14ac:dyDescent="0.25">
      <c r="A182" t="s">
        <v>30</v>
      </c>
    </row>
    <row r="183" spans="1:3" x14ac:dyDescent="0.25">
      <c r="A183" t="s">
        <v>401</v>
      </c>
      <c r="B183" s="14">
        <f>B180*B20</f>
        <v>80127.105882352931</v>
      </c>
    </row>
    <row r="184" spans="1:3" x14ac:dyDescent="0.25">
      <c r="A184" t="s">
        <v>402</v>
      </c>
      <c r="B184" s="14">
        <f>B183*B173</f>
        <v>14102370.635294115</v>
      </c>
    </row>
    <row r="185" spans="1:3" x14ac:dyDescent="0.25">
      <c r="B185" s="14"/>
    </row>
    <row r="186" spans="1:3" x14ac:dyDescent="0.25">
      <c r="A186" s="2" t="s">
        <v>391</v>
      </c>
      <c r="B186" s="14"/>
    </row>
    <row r="187" spans="1:3" x14ac:dyDescent="0.25">
      <c r="A187" t="s">
        <v>29</v>
      </c>
      <c r="B187" s="14"/>
    </row>
    <row r="188" spans="1:3" x14ac:dyDescent="0.25">
      <c r="A188" t="s">
        <v>403</v>
      </c>
      <c r="B188">
        <f>B173</f>
        <v>176</v>
      </c>
    </row>
    <row r="189" spans="1:3" x14ac:dyDescent="0.25">
      <c r="A189" t="s">
        <v>404</v>
      </c>
      <c r="B189">
        <v>20</v>
      </c>
      <c r="C189" t="s">
        <v>413</v>
      </c>
    </row>
    <row r="190" spans="1:3" x14ac:dyDescent="0.25">
      <c r="A190" t="s">
        <v>405</v>
      </c>
      <c r="B190">
        <v>8</v>
      </c>
      <c r="C190" t="s">
        <v>145</v>
      </c>
    </row>
    <row r="191" spans="1:3" x14ac:dyDescent="0.25">
      <c r="A191" t="s">
        <v>406</v>
      </c>
      <c r="B191">
        <v>12</v>
      </c>
      <c r="C191" t="s">
        <v>407</v>
      </c>
    </row>
    <row r="192" spans="1:3" x14ac:dyDescent="0.25">
      <c r="B192" s="14"/>
    </row>
    <row r="193" spans="1:3" x14ac:dyDescent="0.25">
      <c r="A193" t="s">
        <v>408</v>
      </c>
      <c r="B193" s="14"/>
    </row>
    <row r="194" spans="1:3" x14ac:dyDescent="0.25">
      <c r="A194" t="s">
        <v>409</v>
      </c>
      <c r="B194" s="14">
        <f>B189*B190*B14</f>
        <v>82147.764705882364</v>
      </c>
    </row>
    <row r="195" spans="1:3" x14ac:dyDescent="0.25">
      <c r="A195" t="s">
        <v>410</v>
      </c>
      <c r="B195" s="14">
        <f>B191*B20</f>
        <v>13354.517647058823</v>
      </c>
    </row>
    <row r="196" spans="1:3" x14ac:dyDescent="0.25">
      <c r="A196" t="s">
        <v>411</v>
      </c>
      <c r="B196" s="14">
        <f>B194+B195</f>
        <v>95502.282352941183</v>
      </c>
    </row>
    <row r="197" spans="1:3" x14ac:dyDescent="0.25">
      <c r="A197" t="s">
        <v>412</v>
      </c>
      <c r="B197" s="14">
        <f>B196*B188</f>
        <v>16808401.694117647</v>
      </c>
    </row>
    <row r="198" spans="1:3" x14ac:dyDescent="0.25">
      <c r="B198" s="14"/>
    </row>
    <row r="199" spans="1:3" x14ac:dyDescent="0.25">
      <c r="A199" s="2" t="s">
        <v>392</v>
      </c>
      <c r="B199" s="14"/>
    </row>
    <row r="200" spans="1:3" x14ac:dyDescent="0.25">
      <c r="A200" t="s">
        <v>29</v>
      </c>
      <c r="B200" s="14"/>
    </row>
    <row r="201" spans="1:3" x14ac:dyDescent="0.25">
      <c r="A201" t="s">
        <v>403</v>
      </c>
      <c r="B201">
        <f>B173</f>
        <v>176</v>
      </c>
    </row>
    <row r="202" spans="1:3" x14ac:dyDescent="0.25">
      <c r="A202" t="s">
        <v>414</v>
      </c>
      <c r="B202">
        <v>12</v>
      </c>
      <c r="C202" t="s">
        <v>415</v>
      </c>
    </row>
    <row r="203" spans="1:3" x14ac:dyDescent="0.25">
      <c r="A203" t="s">
        <v>416</v>
      </c>
      <c r="B203">
        <v>5</v>
      </c>
      <c r="C203" t="s">
        <v>417</v>
      </c>
    </row>
    <row r="204" spans="1:3" x14ac:dyDescent="0.25">
      <c r="A204" t="s">
        <v>418</v>
      </c>
      <c r="B204">
        <v>2</v>
      </c>
      <c r="C204" t="s">
        <v>145</v>
      </c>
    </row>
    <row r="205" spans="1:3" x14ac:dyDescent="0.25">
      <c r="A205" t="s">
        <v>419</v>
      </c>
      <c r="B205">
        <f>B204*B203*B202</f>
        <v>120</v>
      </c>
    </row>
    <row r="207" spans="1:3" x14ac:dyDescent="0.25">
      <c r="A207" t="s">
        <v>408</v>
      </c>
    </row>
    <row r="208" spans="1:3" x14ac:dyDescent="0.25">
      <c r="A208" t="s">
        <v>420</v>
      </c>
      <c r="B208" s="14">
        <f>B205*B14</f>
        <v>61610.823529411777</v>
      </c>
    </row>
    <row r="209" spans="1:3" x14ac:dyDescent="0.25">
      <c r="A209" t="s">
        <v>412</v>
      </c>
      <c r="B209" s="14">
        <f>B208*B201</f>
        <v>10843504.941176472</v>
      </c>
    </row>
    <row r="210" spans="1:3" x14ac:dyDescent="0.25">
      <c r="B210" s="14"/>
    </row>
    <row r="211" spans="1:3" x14ac:dyDescent="0.25">
      <c r="A211" s="2" t="s">
        <v>421</v>
      </c>
      <c r="B211" s="14"/>
    </row>
    <row r="212" spans="1:3" x14ac:dyDescent="0.25">
      <c r="A212" t="s">
        <v>29</v>
      </c>
      <c r="B212" s="14"/>
    </row>
    <row r="213" spans="1:3" x14ac:dyDescent="0.25">
      <c r="A213" t="s">
        <v>403</v>
      </c>
      <c r="B213">
        <f>B173</f>
        <v>176</v>
      </c>
    </row>
    <row r="214" spans="1:3" x14ac:dyDescent="0.25">
      <c r="A214" t="s">
        <v>422</v>
      </c>
      <c r="B214">
        <v>0.2</v>
      </c>
      <c r="C214" t="s">
        <v>427</v>
      </c>
    </row>
    <row r="215" spans="1:3" x14ac:dyDescent="0.25">
      <c r="A215" t="s">
        <v>423</v>
      </c>
      <c r="B215">
        <v>1700</v>
      </c>
    </row>
    <row r="216" spans="1:3" x14ac:dyDescent="0.25">
      <c r="A216" t="s">
        <v>424</v>
      </c>
      <c r="B216">
        <f>B215*B214</f>
        <v>340</v>
      </c>
    </row>
    <row r="217" spans="1:3" x14ac:dyDescent="0.25">
      <c r="B217" s="14"/>
    </row>
    <row r="218" spans="1:3" x14ac:dyDescent="0.25">
      <c r="A218" t="s">
        <v>30</v>
      </c>
      <c r="B218" s="14"/>
    </row>
    <row r="219" spans="1:3" x14ac:dyDescent="0.25">
      <c r="A219" t="s">
        <v>425</v>
      </c>
      <c r="B219" s="14">
        <f>B216*B14</f>
        <v>174564.00000000003</v>
      </c>
    </row>
    <row r="220" spans="1:3" x14ac:dyDescent="0.25">
      <c r="A220" t="s">
        <v>426</v>
      </c>
      <c r="B220" s="14">
        <f>B219*B213</f>
        <v>30723264.000000004</v>
      </c>
    </row>
    <row r="221" spans="1:3" x14ac:dyDescent="0.25">
      <c r="B221" s="14"/>
    </row>
    <row r="222" spans="1:3" x14ac:dyDescent="0.25">
      <c r="B222" s="14"/>
    </row>
    <row r="223" spans="1:3" x14ac:dyDescent="0.25">
      <c r="A223" s="2" t="s">
        <v>393</v>
      </c>
      <c r="B223" s="14"/>
    </row>
    <row r="224" spans="1:3" x14ac:dyDescent="0.25">
      <c r="A224" t="s">
        <v>29</v>
      </c>
      <c r="B224" s="14"/>
    </row>
    <row r="225" spans="1:3" x14ac:dyDescent="0.25">
      <c r="A225" t="s">
        <v>403</v>
      </c>
      <c r="B225">
        <f>B173</f>
        <v>176</v>
      </c>
    </row>
    <row r="226" spans="1:3" x14ac:dyDescent="0.25">
      <c r="A226" t="s">
        <v>428</v>
      </c>
      <c r="B226">
        <v>40</v>
      </c>
      <c r="C226" t="s">
        <v>429</v>
      </c>
    </row>
    <row r="227" spans="1:3" x14ac:dyDescent="0.25">
      <c r="B227" s="14"/>
    </row>
    <row r="228" spans="1:3" x14ac:dyDescent="0.25">
      <c r="A228" t="s">
        <v>30</v>
      </c>
      <c r="B228" s="14"/>
    </row>
    <row r="229" spans="1:3" x14ac:dyDescent="0.25">
      <c r="A229" t="s">
        <v>430</v>
      </c>
      <c r="B229" s="14">
        <f>B226*B14</f>
        <v>20536.941176470591</v>
      </c>
    </row>
    <row r="230" spans="1:3" x14ac:dyDescent="0.25">
      <c r="A230" t="s">
        <v>431</v>
      </c>
      <c r="B230" s="14">
        <f>B229*B225</f>
        <v>3614501.6470588241</v>
      </c>
    </row>
    <row r="231" spans="1:3" x14ac:dyDescent="0.25">
      <c r="B231" s="14"/>
    </row>
    <row r="232" spans="1:3" x14ac:dyDescent="0.25">
      <c r="B232" s="14"/>
    </row>
    <row r="233" spans="1:3" x14ac:dyDescent="0.25">
      <c r="B233" s="14"/>
    </row>
    <row r="234" spans="1:3" ht="18.75" x14ac:dyDescent="0.3">
      <c r="A234" s="31" t="s">
        <v>90</v>
      </c>
    </row>
    <row r="235" spans="1:3" x14ac:dyDescent="0.25">
      <c r="A235" t="s">
        <v>29</v>
      </c>
    </row>
    <row r="236" spans="1:3" x14ac:dyDescent="0.25">
      <c r="A236" s="46" t="s">
        <v>92</v>
      </c>
      <c r="B236" s="46">
        <v>5517</v>
      </c>
      <c r="C236" s="46" t="s">
        <v>93</v>
      </c>
    </row>
    <row r="237" spans="1:3" x14ac:dyDescent="0.25">
      <c r="A237" s="46" t="s">
        <v>94</v>
      </c>
      <c r="B237" s="46">
        <v>33843</v>
      </c>
      <c r="C237" s="46" t="s">
        <v>95</v>
      </c>
    </row>
    <row r="238" spans="1:3" ht="15" customHeight="1" x14ac:dyDescent="0.25">
      <c r="A238" s="46" t="s">
        <v>96</v>
      </c>
      <c r="B238" s="102">
        <v>0.35</v>
      </c>
      <c r="C238" s="107" t="s">
        <v>984</v>
      </c>
    </row>
    <row r="240" spans="1:3" x14ac:dyDescent="0.25">
      <c r="A240" t="s">
        <v>30</v>
      </c>
    </row>
    <row r="241" spans="1:3" x14ac:dyDescent="0.25">
      <c r="A241" s="46" t="s">
        <v>97</v>
      </c>
      <c r="B241" s="47">
        <f>B238*B237</f>
        <v>11845.05</v>
      </c>
      <c r="C241" t="s">
        <v>956</v>
      </c>
    </row>
    <row r="243" spans="1:3" x14ac:dyDescent="0.25">
      <c r="A243" s="2" t="s">
        <v>88</v>
      </c>
    </row>
    <row r="244" spans="1:3" x14ac:dyDescent="0.25">
      <c r="A244" t="s">
        <v>29</v>
      </c>
    </row>
    <row r="245" spans="1:3" x14ac:dyDescent="0.25">
      <c r="A245" t="s">
        <v>115</v>
      </c>
      <c r="B245">
        <v>600</v>
      </c>
      <c r="C245" t="s">
        <v>432</v>
      </c>
    </row>
    <row r="246" spans="1:3" x14ac:dyDescent="0.25">
      <c r="A246" t="s">
        <v>116</v>
      </c>
      <c r="B246">
        <v>2</v>
      </c>
      <c r="C246" t="s">
        <v>120</v>
      </c>
    </row>
    <row r="247" spans="1:3" x14ac:dyDescent="0.25">
      <c r="A247" t="s">
        <v>121</v>
      </c>
      <c r="B247" s="20">
        <v>0.1</v>
      </c>
      <c r="C247" t="s">
        <v>122</v>
      </c>
    </row>
    <row r="249" spans="1:3" x14ac:dyDescent="0.25">
      <c r="A249" t="s">
        <v>30</v>
      </c>
    </row>
    <row r="250" spans="1:3" x14ac:dyDescent="0.25">
      <c r="A250" t="s">
        <v>117</v>
      </c>
      <c r="B250" s="14">
        <f>B245*B15</f>
        <v>486905.36470588238</v>
      </c>
    </row>
    <row r="251" spans="1:3" x14ac:dyDescent="0.25">
      <c r="A251" t="s">
        <v>118</v>
      </c>
      <c r="B251" s="14">
        <f>B236*B246*B22</f>
        <v>14428577.647058824</v>
      </c>
    </row>
    <row r="252" spans="1:3" x14ac:dyDescent="0.25">
      <c r="A252" t="s">
        <v>119</v>
      </c>
      <c r="B252" s="14">
        <f>B251*B247</f>
        <v>1442857.7647058824</v>
      </c>
    </row>
    <row r="254" spans="1:3" x14ac:dyDescent="0.25">
      <c r="A254" s="2" t="s">
        <v>91</v>
      </c>
    </row>
    <row r="255" spans="1:3" x14ac:dyDescent="0.25">
      <c r="A255" t="s">
        <v>29</v>
      </c>
    </row>
    <row r="256" spans="1:3" x14ac:dyDescent="0.25">
      <c r="A256" t="s">
        <v>124</v>
      </c>
      <c r="B256">
        <v>0.5</v>
      </c>
      <c r="C256" t="s">
        <v>127</v>
      </c>
    </row>
    <row r="258" spans="1:3" x14ac:dyDescent="0.25">
      <c r="A258" t="s">
        <v>113</v>
      </c>
    </row>
    <row r="259" spans="1:3" x14ac:dyDescent="0.25">
      <c r="A259" t="s">
        <v>125</v>
      </c>
      <c r="B259" s="14">
        <f>B256*B241*B22</f>
        <v>7744572.3970588231</v>
      </c>
    </row>
    <row r="261" spans="1:3" x14ac:dyDescent="0.25">
      <c r="A261" s="2" t="s">
        <v>85</v>
      </c>
    </row>
    <row r="262" spans="1:3" x14ac:dyDescent="0.25">
      <c r="A262" t="s">
        <v>29</v>
      </c>
    </row>
    <row r="263" spans="1:3" x14ac:dyDescent="0.25">
      <c r="A263" t="s">
        <v>126</v>
      </c>
      <c r="B263">
        <v>0.2</v>
      </c>
      <c r="C263" t="s">
        <v>128</v>
      </c>
    </row>
    <row r="265" spans="1:3" x14ac:dyDescent="0.25">
      <c r="A265" t="s">
        <v>113</v>
      </c>
    </row>
    <row r="266" spans="1:3" x14ac:dyDescent="0.25">
      <c r="A266" t="s">
        <v>125</v>
      </c>
      <c r="B266" s="14">
        <f>B263*B241*B22</f>
        <v>3097828.9588235295</v>
      </c>
    </row>
    <row r="269" spans="1:3" x14ac:dyDescent="0.25">
      <c r="A269" s="2" t="s">
        <v>87</v>
      </c>
    </row>
    <row r="270" spans="1:3" x14ac:dyDescent="0.25">
      <c r="A270" t="s">
        <v>29</v>
      </c>
    </row>
    <row r="271" spans="1:3" x14ac:dyDescent="0.25">
      <c r="A271" t="s">
        <v>129</v>
      </c>
      <c r="B271" s="59">
        <f>B241</f>
        <v>11845.05</v>
      </c>
    </row>
    <row r="272" spans="1:3" x14ac:dyDescent="0.25">
      <c r="A272" t="s">
        <v>130</v>
      </c>
      <c r="B272">
        <v>0.5</v>
      </c>
      <c r="C272" t="s">
        <v>132</v>
      </c>
    </row>
    <row r="274" spans="1:3" x14ac:dyDescent="0.25">
      <c r="A274" t="s">
        <v>30</v>
      </c>
    </row>
    <row r="275" spans="1:3" x14ac:dyDescent="0.25">
      <c r="A275" t="s">
        <v>131</v>
      </c>
      <c r="B275" s="14">
        <f>B272*B271*B12</f>
        <v>2829712.7682352937</v>
      </c>
    </row>
    <row r="278" spans="1:3" ht="18.75" x14ac:dyDescent="0.3">
      <c r="A278" s="31" t="s">
        <v>106</v>
      </c>
    </row>
    <row r="279" spans="1:3" x14ac:dyDescent="0.25">
      <c r="A279" s="2" t="s">
        <v>479</v>
      </c>
    </row>
    <row r="280" spans="1:3" x14ac:dyDescent="0.25">
      <c r="A280" t="s">
        <v>29</v>
      </c>
    </row>
    <row r="281" spans="1:3" x14ac:dyDescent="0.25">
      <c r="A281" t="s">
        <v>976</v>
      </c>
      <c r="B281" s="13">
        <v>4000000</v>
      </c>
      <c r="C281" t="s">
        <v>977</v>
      </c>
    </row>
    <row r="283" spans="1:3" x14ac:dyDescent="0.25">
      <c r="A283" t="s">
        <v>30</v>
      </c>
    </row>
    <row r="284" spans="1:3" x14ac:dyDescent="0.25">
      <c r="A284" t="s">
        <v>978</v>
      </c>
      <c r="B284">
        <v>2</v>
      </c>
    </row>
    <row r="285" spans="1:3" x14ac:dyDescent="0.25">
      <c r="A285" t="s">
        <v>979</v>
      </c>
      <c r="B285" s="14">
        <f>B281/B284</f>
        <v>2000000</v>
      </c>
    </row>
    <row r="286" spans="1:3" x14ac:dyDescent="0.25">
      <c r="A286" t="s">
        <v>980</v>
      </c>
      <c r="B286" s="14">
        <f>B281/B284</f>
        <v>2000000</v>
      </c>
    </row>
    <row r="287" spans="1:3" x14ac:dyDescent="0.25">
      <c r="B287" s="14"/>
    </row>
    <row r="290" spans="1:3" ht="18.75" x14ac:dyDescent="0.3">
      <c r="A290" s="31" t="s">
        <v>154</v>
      </c>
    </row>
    <row r="291" spans="1:3" ht="15.75" x14ac:dyDescent="0.25">
      <c r="A291" s="30" t="s">
        <v>150</v>
      </c>
    </row>
    <row r="292" spans="1:3" x14ac:dyDescent="0.25">
      <c r="A292" s="2" t="s">
        <v>155</v>
      </c>
    </row>
    <row r="293" spans="1:3" x14ac:dyDescent="0.25">
      <c r="A293" t="s">
        <v>29</v>
      </c>
    </row>
    <row r="294" spans="1:3" x14ac:dyDescent="0.25">
      <c r="A294" t="s">
        <v>156</v>
      </c>
      <c r="B294">
        <v>600</v>
      </c>
      <c r="C294" t="s">
        <v>480</v>
      </c>
    </row>
    <row r="298" spans="1:3" x14ac:dyDescent="0.25">
      <c r="A298" t="s">
        <v>30</v>
      </c>
    </row>
    <row r="299" spans="1:3" x14ac:dyDescent="0.25">
      <c r="A299" t="s">
        <v>157</v>
      </c>
      <c r="B299" s="14">
        <f>B294*B12</f>
        <v>286672.94117647054</v>
      </c>
    </row>
    <row r="301" spans="1:3" x14ac:dyDescent="0.25">
      <c r="A301" s="2" t="s">
        <v>994</v>
      </c>
    </row>
    <row r="302" spans="1:3" x14ac:dyDescent="0.25">
      <c r="A302" t="s">
        <v>29</v>
      </c>
    </row>
    <row r="303" spans="1:3" x14ac:dyDescent="0.25">
      <c r="A303" t="s">
        <v>159</v>
      </c>
      <c r="B303">
        <v>19300</v>
      </c>
      <c r="C303" t="s">
        <v>158</v>
      </c>
    </row>
    <row r="304" spans="1:3" x14ac:dyDescent="0.25">
      <c r="A304" t="s">
        <v>162</v>
      </c>
      <c r="B304">
        <v>1022</v>
      </c>
      <c r="C304" t="s">
        <v>160</v>
      </c>
    </row>
    <row r="305" spans="1:3" x14ac:dyDescent="0.25">
      <c r="A305" t="s">
        <v>161</v>
      </c>
      <c r="B305" s="20">
        <v>0.5</v>
      </c>
      <c r="C305" t="s">
        <v>163</v>
      </c>
    </row>
    <row r="306" spans="1:3" x14ac:dyDescent="0.25">
      <c r="A306" t="s">
        <v>164</v>
      </c>
      <c r="B306">
        <v>1</v>
      </c>
      <c r="C306" t="s">
        <v>165</v>
      </c>
    </row>
    <row r="307" spans="1:3" x14ac:dyDescent="0.25">
      <c r="A307" t="s">
        <v>167</v>
      </c>
      <c r="B307" s="32">
        <v>0.124</v>
      </c>
      <c r="C307" t="s">
        <v>168</v>
      </c>
    </row>
    <row r="308" spans="1:3" x14ac:dyDescent="0.25">
      <c r="A308" t="s">
        <v>992</v>
      </c>
      <c r="B308" s="20">
        <v>0.5</v>
      </c>
      <c r="C308" t="s">
        <v>165</v>
      </c>
    </row>
    <row r="310" spans="1:3" x14ac:dyDescent="0.25">
      <c r="A310" t="s">
        <v>30</v>
      </c>
    </row>
    <row r="311" spans="1:3" x14ac:dyDescent="0.25">
      <c r="A311" t="s">
        <v>473</v>
      </c>
      <c r="B311" s="14">
        <f>((B303+(B304/B305))*B308*B306*B23)</f>
        <v>4012245.1199999996</v>
      </c>
    </row>
    <row r="312" spans="1:3" x14ac:dyDescent="0.25">
      <c r="A312" t="s">
        <v>993</v>
      </c>
      <c r="B312" s="14">
        <f>B311*B307</f>
        <v>497518.39487999998</v>
      </c>
    </row>
    <row r="315" spans="1:3" x14ac:dyDescent="0.25">
      <c r="A315" s="2" t="s">
        <v>175</v>
      </c>
    </row>
    <row r="316" spans="1:3" x14ac:dyDescent="0.25">
      <c r="A316" t="s">
        <v>29</v>
      </c>
    </row>
    <row r="317" spans="1:3" x14ac:dyDescent="0.25">
      <c r="A317" t="s">
        <v>169</v>
      </c>
      <c r="B317" s="20">
        <v>0.1</v>
      </c>
      <c r="C317" t="s">
        <v>165</v>
      </c>
    </row>
    <row r="318" spans="1:3" x14ac:dyDescent="0.25">
      <c r="A318" t="s">
        <v>174</v>
      </c>
      <c r="B318">
        <v>1</v>
      </c>
      <c r="C318" t="s">
        <v>165</v>
      </c>
    </row>
    <row r="320" spans="1:3" x14ac:dyDescent="0.25">
      <c r="A320" t="s">
        <v>30</v>
      </c>
    </row>
    <row r="321" spans="1:3" x14ac:dyDescent="0.25">
      <c r="A321" t="s">
        <v>170</v>
      </c>
      <c r="B321">
        <f>(B303+(B304/B305))</f>
        <v>21344</v>
      </c>
      <c r="C321" t="s">
        <v>171</v>
      </c>
    </row>
    <row r="322" spans="1:3" x14ac:dyDescent="0.25">
      <c r="A322" t="s">
        <v>992</v>
      </c>
      <c r="B322" s="20">
        <v>0.5</v>
      </c>
      <c r="C322" t="s">
        <v>165</v>
      </c>
    </row>
    <row r="323" spans="1:3" x14ac:dyDescent="0.25">
      <c r="A323" t="s">
        <v>995</v>
      </c>
      <c r="B323" s="59">
        <f>B321*B322</f>
        <v>10672</v>
      </c>
    </row>
    <row r="324" spans="1:3" x14ac:dyDescent="0.25">
      <c r="A324" t="s">
        <v>173</v>
      </c>
      <c r="B324" s="59">
        <f>(B321*B317*B308)</f>
        <v>1067.2</v>
      </c>
      <c r="C324" t="s">
        <v>996</v>
      </c>
    </row>
    <row r="325" spans="1:3" x14ac:dyDescent="0.25">
      <c r="A325" t="s">
        <v>172</v>
      </c>
      <c r="B325" s="14">
        <f>B324*(B12+B23)</f>
        <v>911120.11670588236</v>
      </c>
      <c r="C325" t="s">
        <v>176</v>
      </c>
    </row>
    <row r="327" spans="1:3" x14ac:dyDescent="0.25">
      <c r="A327" s="2" t="s">
        <v>151</v>
      </c>
    </row>
    <row r="328" spans="1:3" x14ac:dyDescent="0.25">
      <c r="A328" t="s">
        <v>29</v>
      </c>
    </row>
    <row r="329" spans="1:3" x14ac:dyDescent="0.25">
      <c r="A329" t="s">
        <v>177</v>
      </c>
      <c r="B329">
        <f>15*37.5</f>
        <v>562.5</v>
      </c>
      <c r="C329" t="s">
        <v>195</v>
      </c>
    </row>
    <row r="331" spans="1:3" x14ac:dyDescent="0.25">
      <c r="A331" t="s">
        <v>30</v>
      </c>
    </row>
    <row r="332" spans="1:3" x14ac:dyDescent="0.25">
      <c r="A332" t="s">
        <v>178</v>
      </c>
      <c r="B332" s="14">
        <f>B329*B15</f>
        <v>456473.77941176476</v>
      </c>
    </row>
    <row r="336" spans="1:3" ht="15.75" x14ac:dyDescent="0.25">
      <c r="A336" s="30" t="s">
        <v>997</v>
      </c>
    </row>
    <row r="337" spans="1:3" x14ac:dyDescent="0.25">
      <c r="A337" s="2" t="s">
        <v>152</v>
      </c>
    </row>
    <row r="338" spans="1:3" x14ac:dyDescent="0.25">
      <c r="A338" t="s">
        <v>29</v>
      </c>
    </row>
    <row r="339" spans="1:3" x14ac:dyDescent="0.25">
      <c r="A339" t="s">
        <v>103</v>
      </c>
      <c r="B339">
        <v>357</v>
      </c>
    </row>
    <row r="340" spans="1:3" x14ac:dyDescent="0.25">
      <c r="A340" t="s">
        <v>179</v>
      </c>
      <c r="B340">
        <v>37.5</v>
      </c>
      <c r="C340" t="s">
        <v>194</v>
      </c>
    </row>
    <row r="342" spans="1:3" x14ac:dyDescent="0.25">
      <c r="A342" t="s">
        <v>30</v>
      </c>
    </row>
    <row r="343" spans="1:3" x14ac:dyDescent="0.25">
      <c r="A343" t="s">
        <v>180</v>
      </c>
      <c r="B343" s="14">
        <f>B340*B339*B15</f>
        <v>10864075.950000001</v>
      </c>
    </row>
    <row r="347" spans="1:3" x14ac:dyDescent="0.25">
      <c r="A347" s="2" t="s">
        <v>183</v>
      </c>
    </row>
    <row r="348" spans="1:3" x14ac:dyDescent="0.25">
      <c r="A348" t="s">
        <v>29</v>
      </c>
    </row>
    <row r="349" spans="1:3" x14ac:dyDescent="0.25">
      <c r="A349" t="s">
        <v>103</v>
      </c>
      <c r="B349">
        <v>357</v>
      </c>
    </row>
    <row r="350" spans="1:3" x14ac:dyDescent="0.25">
      <c r="A350" t="s">
        <v>181</v>
      </c>
      <c r="B350">
        <f>1.5*37.5</f>
        <v>56.25</v>
      </c>
      <c r="C350" t="s">
        <v>193</v>
      </c>
    </row>
    <row r="352" spans="1:3" x14ac:dyDescent="0.25">
      <c r="A352" t="s">
        <v>30</v>
      </c>
    </row>
    <row r="353" spans="1:3" x14ac:dyDescent="0.25">
      <c r="A353" t="s">
        <v>182</v>
      </c>
      <c r="B353" s="14">
        <f>B350*B349*B23</f>
        <v>7549746.75</v>
      </c>
    </row>
    <row r="357" spans="1:3" x14ac:dyDescent="0.25">
      <c r="A357" s="2" t="s">
        <v>153</v>
      </c>
    </row>
    <row r="358" spans="1:3" x14ac:dyDescent="0.25">
      <c r="A358" t="s">
        <v>29</v>
      </c>
    </row>
    <row r="359" spans="1:3" x14ac:dyDescent="0.25">
      <c r="A359" t="s">
        <v>186</v>
      </c>
      <c r="B359">
        <v>4</v>
      </c>
      <c r="C359" t="s">
        <v>188</v>
      </c>
    </row>
    <row r="360" spans="1:3" x14ac:dyDescent="0.25">
      <c r="A360" t="s">
        <v>185</v>
      </c>
      <c r="B360" s="20">
        <v>0.2</v>
      </c>
      <c r="C360" t="s">
        <v>165</v>
      </c>
    </row>
    <row r="362" spans="1:3" x14ac:dyDescent="0.25">
      <c r="A362" t="s">
        <v>30</v>
      </c>
    </row>
    <row r="363" spans="1:3" x14ac:dyDescent="0.25">
      <c r="A363" t="s">
        <v>170</v>
      </c>
      <c r="B363">
        <f>(B303+(B304/B305))</f>
        <v>21344</v>
      </c>
      <c r="C363" t="s">
        <v>171</v>
      </c>
    </row>
    <row r="364" spans="1:3" x14ac:dyDescent="0.25">
      <c r="A364" t="s">
        <v>187</v>
      </c>
      <c r="B364" s="59">
        <f>(B363*B360)</f>
        <v>4268.8</v>
      </c>
      <c r="C364" t="s">
        <v>184</v>
      </c>
    </row>
    <row r="365" spans="1:3" x14ac:dyDescent="0.25">
      <c r="A365" t="s">
        <v>189</v>
      </c>
      <c r="B365" s="14">
        <f>B364*B359*B23</f>
        <v>6419592.1919999998</v>
      </c>
    </row>
    <row r="368" spans="1:3" ht="18.75" x14ac:dyDescent="0.3">
      <c r="A368" s="31" t="s">
        <v>975</v>
      </c>
    </row>
    <row r="369" spans="1:3" x14ac:dyDescent="0.25">
      <c r="A369" s="2" t="s">
        <v>982</v>
      </c>
    </row>
    <row r="370" spans="1:3" x14ac:dyDescent="0.25">
      <c r="A370" t="s">
        <v>29</v>
      </c>
    </row>
    <row r="371" spans="1:3" x14ac:dyDescent="0.25">
      <c r="A371" t="s">
        <v>460</v>
      </c>
      <c r="B371">
        <v>3</v>
      </c>
    </row>
    <row r="372" spans="1:3" x14ac:dyDescent="0.25">
      <c r="A372" t="s">
        <v>418</v>
      </c>
      <c r="B372">
        <v>2</v>
      </c>
    </row>
    <row r="373" spans="1:3" x14ac:dyDescent="0.25">
      <c r="A373" t="s">
        <v>461</v>
      </c>
      <c r="B373">
        <v>1</v>
      </c>
    </row>
    <row r="374" spans="1:3" x14ac:dyDescent="0.25">
      <c r="A374" t="s">
        <v>462</v>
      </c>
      <c r="B374">
        <f>B373*B372*B371</f>
        <v>6</v>
      </c>
    </row>
    <row r="375" spans="1:3" x14ac:dyDescent="0.25">
      <c r="A375" t="s">
        <v>463</v>
      </c>
      <c r="B375">
        <v>2</v>
      </c>
    </row>
    <row r="376" spans="1:3" x14ac:dyDescent="0.25">
      <c r="A376" t="s">
        <v>464</v>
      </c>
      <c r="B376">
        <f>B374+B375</f>
        <v>8</v>
      </c>
    </row>
    <row r="377" spans="1:3" x14ac:dyDescent="0.25">
      <c r="A377" t="s">
        <v>985</v>
      </c>
      <c r="B377">
        <f>(B421+B437)*1.5</f>
        <v>36696</v>
      </c>
      <c r="C377" t="s">
        <v>986</v>
      </c>
    </row>
    <row r="378" spans="1:3" x14ac:dyDescent="0.25">
      <c r="A378" t="s">
        <v>467</v>
      </c>
      <c r="B378">
        <v>20</v>
      </c>
      <c r="C378" t="s">
        <v>987</v>
      </c>
    </row>
    <row r="379" spans="1:3" x14ac:dyDescent="0.25">
      <c r="A379" t="s">
        <v>466</v>
      </c>
      <c r="B379" s="59">
        <f>B377/B378</f>
        <v>1834.8</v>
      </c>
    </row>
    <row r="381" spans="1:3" x14ac:dyDescent="0.25">
      <c r="A381" t="s">
        <v>30</v>
      </c>
    </row>
    <row r="382" spans="1:3" x14ac:dyDescent="0.25">
      <c r="A382" t="s">
        <v>469</v>
      </c>
      <c r="B382" s="59">
        <f>B379*B376</f>
        <v>14678.4</v>
      </c>
    </row>
    <row r="383" spans="1:3" x14ac:dyDescent="0.25">
      <c r="A383" t="s">
        <v>470</v>
      </c>
      <c r="B383" s="14">
        <f>B382*B18</f>
        <v>9419284.6983529422</v>
      </c>
    </row>
    <row r="388" spans="1:3" ht="18.75" x14ac:dyDescent="0.3">
      <c r="A388" s="31" t="s">
        <v>449</v>
      </c>
    </row>
    <row r="389" spans="1:3" x14ac:dyDescent="0.25">
      <c r="A389" t="s">
        <v>29</v>
      </c>
    </row>
    <row r="390" spans="1:3" x14ac:dyDescent="0.25">
      <c r="A390" t="s">
        <v>450</v>
      </c>
      <c r="B390" t="s">
        <v>451</v>
      </c>
    </row>
    <row r="392" spans="1:3" x14ac:dyDescent="0.25">
      <c r="A392" s="2" t="s">
        <v>444</v>
      </c>
    </row>
    <row r="393" spans="1:3" x14ac:dyDescent="0.25">
      <c r="A393" t="s">
        <v>29</v>
      </c>
    </row>
    <row r="394" spans="1:3" x14ac:dyDescent="0.25">
      <c r="A394" t="s">
        <v>453</v>
      </c>
      <c r="B394">
        <v>80</v>
      </c>
      <c r="C394" t="s">
        <v>474</v>
      </c>
    </row>
    <row r="395" spans="1:3" x14ac:dyDescent="0.25">
      <c r="A395" t="s">
        <v>454</v>
      </c>
      <c r="B395">
        <v>2</v>
      </c>
      <c r="C395" t="s">
        <v>145</v>
      </c>
    </row>
    <row r="396" spans="1:3" x14ac:dyDescent="0.25">
      <c r="A396" t="s">
        <v>455</v>
      </c>
      <c r="B396">
        <f>B394*B395</f>
        <v>160</v>
      </c>
    </row>
    <row r="397" spans="1:3" x14ac:dyDescent="0.25">
      <c r="A397" t="s">
        <v>456</v>
      </c>
      <c r="B397">
        <v>16</v>
      </c>
      <c r="C397" t="s">
        <v>145</v>
      </c>
    </row>
    <row r="398" spans="1:3" x14ac:dyDescent="0.25">
      <c r="A398" t="s">
        <v>457</v>
      </c>
      <c r="B398">
        <f>B396*B397</f>
        <v>2560</v>
      </c>
    </row>
    <row r="399" spans="1:3" x14ac:dyDescent="0.25">
      <c r="A399" t="s">
        <v>48</v>
      </c>
      <c r="B399" s="52">
        <v>0.14499999999999999</v>
      </c>
    </row>
    <row r="401" spans="1:2" x14ac:dyDescent="0.25">
      <c r="A401" t="s">
        <v>30</v>
      </c>
    </row>
    <row r="402" spans="1:2" x14ac:dyDescent="0.25">
      <c r="A402" t="s">
        <v>458</v>
      </c>
      <c r="B402" s="14">
        <f>B398*B18</f>
        <v>1642779.1058823531</v>
      </c>
    </row>
    <row r="403" spans="1:2" x14ac:dyDescent="0.25">
      <c r="A403" t="s">
        <v>137</v>
      </c>
      <c r="B403" s="69">
        <f>B402*B399</f>
        <v>238202.97035294119</v>
      </c>
    </row>
    <row r="406" spans="1:2" x14ac:dyDescent="0.25">
      <c r="A406" s="2" t="s">
        <v>445</v>
      </c>
    </row>
    <row r="407" spans="1:2" x14ac:dyDescent="0.25">
      <c r="A407" t="s">
        <v>29</v>
      </c>
    </row>
    <row r="408" spans="1:2" x14ac:dyDescent="0.25">
      <c r="A408" t="s">
        <v>475</v>
      </c>
      <c r="B408">
        <v>0.5</v>
      </c>
    </row>
    <row r="410" spans="1:2" x14ac:dyDescent="0.25">
      <c r="A410" t="s">
        <v>30</v>
      </c>
    </row>
    <row r="411" spans="1:2" x14ac:dyDescent="0.25">
      <c r="A411" t="s">
        <v>459</v>
      </c>
      <c r="B411" s="14">
        <f>B408*B15*1700</f>
        <v>689782.60000000009</v>
      </c>
    </row>
    <row r="413" spans="1:2" x14ac:dyDescent="0.25">
      <c r="A413" s="2" t="s">
        <v>447</v>
      </c>
    </row>
    <row r="414" spans="1:2" x14ac:dyDescent="0.25">
      <c r="A414" t="s">
        <v>29</v>
      </c>
    </row>
    <row r="415" spans="1:2" x14ac:dyDescent="0.25">
      <c r="A415" t="s">
        <v>460</v>
      </c>
      <c r="B415">
        <v>2</v>
      </c>
    </row>
    <row r="416" spans="1:2" x14ac:dyDescent="0.25">
      <c r="A416" t="s">
        <v>418</v>
      </c>
      <c r="B416">
        <v>1.5</v>
      </c>
    </row>
    <row r="417" spans="1:3" x14ac:dyDescent="0.25">
      <c r="A417" t="s">
        <v>461</v>
      </c>
      <c r="B417">
        <v>2</v>
      </c>
    </row>
    <row r="418" spans="1:3" x14ac:dyDescent="0.25">
      <c r="A418" t="s">
        <v>462</v>
      </c>
      <c r="B418">
        <f>B417*B416*B415</f>
        <v>6</v>
      </c>
    </row>
    <row r="419" spans="1:3" x14ac:dyDescent="0.25">
      <c r="A419" t="s">
        <v>463</v>
      </c>
      <c r="B419">
        <v>2</v>
      </c>
    </row>
    <row r="420" spans="1:3" x14ac:dyDescent="0.25">
      <c r="A420" t="s">
        <v>464</v>
      </c>
      <c r="B420">
        <f>B418+B419</f>
        <v>8</v>
      </c>
    </row>
    <row r="421" spans="1:3" x14ac:dyDescent="0.25">
      <c r="A421" t="s">
        <v>465</v>
      </c>
      <c r="B421">
        <v>11000</v>
      </c>
      <c r="C421" t="s">
        <v>476</v>
      </c>
    </row>
    <row r="422" spans="1:3" x14ac:dyDescent="0.25">
      <c r="A422" t="s">
        <v>467</v>
      </c>
      <c r="B422">
        <v>6</v>
      </c>
      <c r="C422" t="s">
        <v>468</v>
      </c>
    </row>
    <row r="423" spans="1:3" x14ac:dyDescent="0.25">
      <c r="A423" t="s">
        <v>466</v>
      </c>
      <c r="B423" s="59">
        <f>B421/B422</f>
        <v>1833.3333333333333</v>
      </c>
    </row>
    <row r="425" spans="1:3" x14ac:dyDescent="0.25">
      <c r="A425" t="s">
        <v>30</v>
      </c>
    </row>
    <row r="426" spans="1:3" x14ac:dyDescent="0.25">
      <c r="A426" t="s">
        <v>469</v>
      </c>
      <c r="B426" s="59">
        <f>B423*B420</f>
        <v>14666.666666666666</v>
      </c>
    </row>
    <row r="427" spans="1:3" x14ac:dyDescent="0.25">
      <c r="A427" t="s">
        <v>470</v>
      </c>
      <c r="B427" s="14">
        <f>B426*B18</f>
        <v>9411755.2941176463</v>
      </c>
    </row>
    <row r="429" spans="1:3" x14ac:dyDescent="0.25">
      <c r="A429" s="2" t="s">
        <v>446</v>
      </c>
    </row>
    <row r="430" spans="1:3" x14ac:dyDescent="0.25">
      <c r="A430" t="s">
        <v>29</v>
      </c>
    </row>
    <row r="431" spans="1:3" x14ac:dyDescent="0.25">
      <c r="A431" t="s">
        <v>460</v>
      </c>
      <c r="B431">
        <v>3</v>
      </c>
    </row>
    <row r="432" spans="1:3" x14ac:dyDescent="0.25">
      <c r="A432" t="s">
        <v>418</v>
      </c>
      <c r="B432">
        <v>1.5</v>
      </c>
    </row>
    <row r="433" spans="1:3" x14ac:dyDescent="0.25">
      <c r="A433" t="s">
        <v>461</v>
      </c>
      <c r="B433">
        <v>2</v>
      </c>
    </row>
    <row r="434" spans="1:3" x14ac:dyDescent="0.25">
      <c r="A434" t="s">
        <v>462</v>
      </c>
      <c r="B434">
        <f>B433*B432*B431</f>
        <v>9</v>
      </c>
    </row>
    <row r="435" spans="1:3" x14ac:dyDescent="0.25">
      <c r="A435" t="s">
        <v>463</v>
      </c>
      <c r="B435">
        <v>2</v>
      </c>
    </row>
    <row r="436" spans="1:3" x14ac:dyDescent="0.25">
      <c r="A436" t="s">
        <v>464</v>
      </c>
      <c r="B436">
        <f>B435+B434</f>
        <v>11</v>
      </c>
    </row>
    <row r="437" spans="1:3" x14ac:dyDescent="0.25">
      <c r="A437" t="s">
        <v>465</v>
      </c>
      <c r="B437">
        <f>11220*1.2</f>
        <v>13464</v>
      </c>
      <c r="C437" t="s">
        <v>478</v>
      </c>
    </row>
    <row r="438" spans="1:3" x14ac:dyDescent="0.25">
      <c r="A438" t="s">
        <v>467</v>
      </c>
      <c r="B438">
        <v>10</v>
      </c>
      <c r="C438" t="s">
        <v>477</v>
      </c>
    </row>
    <row r="439" spans="1:3" x14ac:dyDescent="0.25">
      <c r="A439" t="s">
        <v>466</v>
      </c>
      <c r="B439" s="59">
        <f>B437/B438</f>
        <v>1346.4</v>
      </c>
    </row>
    <row r="441" spans="1:3" x14ac:dyDescent="0.25">
      <c r="A441" t="s">
        <v>30</v>
      </c>
    </row>
    <row r="442" spans="1:3" x14ac:dyDescent="0.25">
      <c r="A442" t="s">
        <v>469</v>
      </c>
      <c r="B442" s="59">
        <f>B439*B436</f>
        <v>14810.400000000001</v>
      </c>
    </row>
    <row r="443" spans="1:3" x14ac:dyDescent="0.25">
      <c r="A443" t="s">
        <v>470</v>
      </c>
      <c r="B443" s="14">
        <f>B442*B18</f>
        <v>9503990.4960000012</v>
      </c>
    </row>
    <row r="446" spans="1:3" x14ac:dyDescent="0.25">
      <c r="A446" s="2" t="s">
        <v>448</v>
      </c>
    </row>
    <row r="447" spans="1:3" x14ac:dyDescent="0.25">
      <c r="A447" t="s">
        <v>29</v>
      </c>
    </row>
    <row r="448" spans="1:3" x14ac:dyDescent="0.25">
      <c r="A448" t="s">
        <v>471</v>
      </c>
      <c r="B448">
        <v>0.5</v>
      </c>
    </row>
    <row r="450" spans="1:2" x14ac:dyDescent="0.25">
      <c r="A450" t="s">
        <v>30</v>
      </c>
    </row>
    <row r="451" spans="1:2" x14ac:dyDescent="0.25">
      <c r="A451" t="s">
        <v>459</v>
      </c>
      <c r="B451" s="14">
        <f>B448*B15*1700</f>
        <v>689782.60000000009</v>
      </c>
    </row>
  </sheetData>
  <mergeCells count="1">
    <mergeCell ref="A2:C2"/>
  </mergeCells>
  <phoneticPr fontId="15" type="noConversion"/>
  <hyperlinks>
    <hyperlink ref="F12" r:id="rId1" xr:uid="{A5F27CC2-A985-48F5-BDD8-F04A547E8425}"/>
    <hyperlink ref="F14" r:id="rId2" xr:uid="{09ACB79E-0592-464C-8228-5220D2D591C7}"/>
    <hyperlink ref="F22" r:id="rId3" xr:uid="{91D70D9A-E022-49E8-837F-31C79D87BAE3}"/>
    <hyperlink ref="F21" r:id="rId4" xr:uid="{039F3064-9DDF-4273-BF76-A3D36B9F714E}"/>
    <hyperlink ref="F18" r:id="rId5" xr:uid="{3A9B1FA8-DD9A-4223-A20C-E72172696528}"/>
    <hyperlink ref="F19" r:id="rId6" xr:uid="{94097BD1-2823-404D-8CEA-AE870F6B3BF6}"/>
    <hyperlink ref="F17" r:id="rId7" xr:uid="{DFF49E6E-19C9-49B9-A759-E8C6CBBD01B5}"/>
    <hyperlink ref="F16" r:id="rId8" xr:uid="{FF9A1F8A-15A6-4850-AF27-703217578360}"/>
    <hyperlink ref="F15" r:id="rId9" display="https://www.helsedirektoratet.no/rapporter/helsedirektoratets-arsrapport-2024/pdf-av-rapporten/Helsedirektoratet%20%C3%A5rsrapport%202024%201.0.pdf/_/attachment/inline/89d43ab3-c405-4e3f-aa1f-b4efc30d313d:57ef28b7571a31e028c5ccb1e03d075f8675ae09/Helsedirektoratet%20%C3%A5rsrapport%202024%201.0.pdf" xr:uid="{D816DA95-C323-4A8F-9344-8104D83CFF29}"/>
    <hyperlink ref="F13" r:id="rId10" xr:uid="{318AC513-03EB-49B6-A8D6-F93C45150486}"/>
    <hyperlink ref="F20" r:id="rId11" xr:uid="{C9AF46E0-BF0B-41AB-ADD6-9AE6B460A533}"/>
    <hyperlink ref="F23" r:id="rId12" xr:uid="{7E3D1F50-0783-431E-AE91-397D0C96F2D7}"/>
    <hyperlink ref="C157" r:id="rId13" xr:uid="{7473CC33-4811-4B4B-91A8-7180292DDDA0}"/>
    <hyperlink ref="D157" r:id="rId14" xr:uid="{7FAA9B58-B709-4EEE-9D1D-8D9B6956F45D}"/>
  </hyperlinks>
  <pageMargins left="0.7" right="0.7" top="0.75" bottom="0.75" header="0.3" footer="0.3"/>
  <pageSetup orientation="portrait"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F549C-4A63-4169-959F-B125958CCA89}">
  <dimension ref="A1:V26"/>
  <sheetViews>
    <sheetView showGridLines="0" zoomScaleNormal="100" workbookViewId="0">
      <selection activeCell="D26" sqref="A15:D26"/>
    </sheetView>
  </sheetViews>
  <sheetFormatPr baseColWidth="10" defaultColWidth="9.140625" defaultRowHeight="15" x14ac:dyDescent="0.25"/>
  <cols>
    <col min="1" max="1" width="9.7109375" customWidth="1"/>
    <col min="2" max="2" width="53" bestFit="1" customWidth="1"/>
    <col min="3" max="3" width="12" bestFit="1" customWidth="1"/>
    <col min="4" max="4" width="88.42578125" customWidth="1"/>
    <col min="5" max="5" width="10.140625" bestFit="1" customWidth="1"/>
    <col min="6" max="6" width="19.140625" customWidth="1"/>
    <col min="7" max="7" width="12.140625" customWidth="1"/>
    <col min="8" max="8" width="11" customWidth="1"/>
    <col min="9" max="10" width="10.7109375" customWidth="1"/>
  </cols>
  <sheetData>
    <row r="1" spans="1:22" x14ac:dyDescent="0.25">
      <c r="A1" s="2" t="s">
        <v>991</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16" t="s">
        <v>33</v>
      </c>
      <c r="G3" s="2">
        <v>2027</v>
      </c>
      <c r="H3" s="2">
        <v>2028</v>
      </c>
      <c r="I3" s="2">
        <v>2029</v>
      </c>
      <c r="J3" s="34">
        <v>2030</v>
      </c>
    </row>
    <row r="4" spans="1:22" x14ac:dyDescent="0.25">
      <c r="A4" t="s">
        <v>5</v>
      </c>
      <c r="B4" s="5" t="s">
        <v>433</v>
      </c>
      <c r="C4" s="4" t="s">
        <v>6</v>
      </c>
      <c r="D4" t="s">
        <v>434</v>
      </c>
      <c r="E4" s="35"/>
      <c r="F4" s="18">
        <f>NPV('Tallgrunnlag inputdata'!$B$6,'Overordnet tiltak'!G4:J4)</f>
        <v>3316262.5000000005</v>
      </c>
      <c r="G4" s="37">
        <f>'Tallgrunnlag inputdata'!B32</f>
        <v>3448913.0000000005</v>
      </c>
      <c r="H4" s="37"/>
      <c r="I4" s="37"/>
      <c r="J4" s="38"/>
    </row>
    <row r="5" spans="1:22" x14ac:dyDescent="0.25">
      <c r="A5" t="s">
        <v>5</v>
      </c>
      <c r="B5" s="5" t="s">
        <v>433</v>
      </c>
      <c r="C5" s="6" t="s">
        <v>14</v>
      </c>
      <c r="D5" t="s">
        <v>962</v>
      </c>
      <c r="E5" s="4"/>
      <c r="F5" s="18">
        <f>NPV('Tallgrunnlag inputdata'!$B$6,'Overordnet tiltak'!G5:J5)</f>
        <v>1498170.3529411766</v>
      </c>
      <c r="G5" s="40">
        <f>'Tallgrunnlag inputdata'!B41</f>
        <v>1558097.1670588236</v>
      </c>
      <c r="H5" s="40"/>
      <c r="I5" s="40"/>
      <c r="J5" s="24"/>
    </row>
    <row r="6" spans="1:22" x14ac:dyDescent="0.25">
      <c r="A6" s="7" t="s">
        <v>5</v>
      </c>
      <c r="B6" s="8" t="s">
        <v>433</v>
      </c>
      <c r="C6" s="9" t="s">
        <v>15</v>
      </c>
      <c r="D6" s="7" t="s">
        <v>960</v>
      </c>
      <c r="E6" s="9"/>
      <c r="F6" s="43">
        <f>NPV('Tallgrunnlag inputdata'!$B$6,'Overordnet tiltak'!G6:J6)</f>
        <v>924556.21301775146</v>
      </c>
      <c r="G6" s="27">
        <v>0</v>
      </c>
      <c r="H6" s="27">
        <f>'Tallgrunnlag inputdata'!$B$48</f>
        <v>1000000</v>
      </c>
      <c r="I6" s="27"/>
      <c r="J6" s="28"/>
    </row>
    <row r="7" spans="1:22" x14ac:dyDescent="0.25">
      <c r="A7" s="53" t="s">
        <v>9</v>
      </c>
      <c r="B7" s="53" t="s">
        <v>967</v>
      </c>
      <c r="C7" s="54" t="s">
        <v>17</v>
      </c>
      <c r="D7" s="53" t="s">
        <v>967</v>
      </c>
      <c r="E7" s="53"/>
      <c r="F7" s="98">
        <f>NPV('Tallgrunnlag inputdata'!$B$6,'Overordnet tiltak'!G7:J7)</f>
        <v>573898.90659589274</v>
      </c>
      <c r="G7" s="99">
        <f>SUM(G4:G6)*'Tallgrunnlag inputdata'!$B$9</f>
        <v>500701.01670588239</v>
      </c>
      <c r="H7" s="99">
        <f>SUM(H4:H6)*'Tallgrunnlag inputdata'!$B$9</f>
        <v>100000</v>
      </c>
      <c r="I7" s="53"/>
      <c r="J7" s="100"/>
    </row>
    <row r="9" spans="1:22" x14ac:dyDescent="0.25">
      <c r="E9" s="2" t="s">
        <v>31</v>
      </c>
      <c r="F9" s="29">
        <f>SUM(F4:F7)</f>
        <v>6312887.9725548215</v>
      </c>
    </row>
    <row r="10" spans="1:22" x14ac:dyDescent="0.25">
      <c r="B10" s="2"/>
    </row>
    <row r="11" spans="1:22" x14ac:dyDescent="0.25">
      <c r="C11" s="20"/>
    </row>
    <row r="12" spans="1:22" x14ac:dyDescent="0.25">
      <c r="A12" s="10"/>
    </row>
    <row r="13" spans="1:22" x14ac:dyDescent="0.25">
      <c r="A13" s="11"/>
    </row>
    <row r="14" spans="1:22" x14ac:dyDescent="0.25">
      <c r="A14" s="11"/>
    </row>
    <row r="15" spans="1:22" x14ac:dyDescent="0.25">
      <c r="A15" s="108"/>
      <c r="B15" s="109"/>
      <c r="C15" s="109"/>
      <c r="D15" s="109"/>
    </row>
    <row r="16" spans="1:22" x14ac:dyDescent="0.25">
      <c r="A16" s="109"/>
      <c r="B16" s="109"/>
      <c r="C16" s="109"/>
      <c r="D16" s="109"/>
    </row>
    <row r="17" spans="1:4" x14ac:dyDescent="0.25">
      <c r="A17" s="109"/>
      <c r="B17" s="109"/>
      <c r="C17" s="109"/>
      <c r="D17" s="109"/>
    </row>
    <row r="18" spans="1:4" x14ac:dyDescent="0.25">
      <c r="A18" s="109"/>
      <c r="B18" s="109"/>
      <c r="C18" s="109"/>
      <c r="D18" s="109"/>
    </row>
    <row r="19" spans="1:4" x14ac:dyDescent="0.25">
      <c r="A19" s="109"/>
      <c r="B19" s="110"/>
      <c r="C19" s="111"/>
      <c r="D19" s="109"/>
    </row>
    <row r="20" spans="1:4" x14ac:dyDescent="0.25">
      <c r="A20" s="109"/>
      <c r="B20" s="109"/>
      <c r="C20" s="111"/>
      <c r="D20" s="109"/>
    </row>
    <row r="21" spans="1:4" x14ac:dyDescent="0.25">
      <c r="A21" s="109"/>
      <c r="B21" s="109"/>
      <c r="C21" s="111"/>
      <c r="D21" s="109"/>
    </row>
    <row r="22" spans="1:4" x14ac:dyDescent="0.25">
      <c r="A22" s="109"/>
      <c r="B22" s="109"/>
      <c r="C22" s="109"/>
      <c r="D22" s="109"/>
    </row>
    <row r="23" spans="1:4" x14ac:dyDescent="0.25">
      <c r="A23" s="109"/>
      <c r="B23" s="109"/>
      <c r="C23" s="109"/>
      <c r="D23" s="109"/>
    </row>
    <row r="24" spans="1:4" x14ac:dyDescent="0.25">
      <c r="A24" s="109"/>
      <c r="B24" s="109"/>
      <c r="C24" s="109"/>
      <c r="D24" s="109"/>
    </row>
    <row r="25" spans="1:4" x14ac:dyDescent="0.25">
      <c r="A25" s="109"/>
      <c r="B25" s="109"/>
      <c r="C25" s="109"/>
      <c r="D25" s="109"/>
    </row>
    <row r="26" spans="1:4" x14ac:dyDescent="0.25">
      <c r="A26" s="109"/>
      <c r="B26" s="109"/>
      <c r="C26" s="109"/>
      <c r="D26" s="109"/>
    </row>
  </sheetData>
  <pageMargins left="0.7" right="0.7" top="0.75" bottom="0.75" header="0.3" footer="0.3"/>
  <ignoredErrors>
    <ignoredError sqref="C4:C6"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22CAA-1D7B-43E5-8CB4-190965098F61}">
  <dimension ref="A1:V34"/>
  <sheetViews>
    <sheetView showGridLines="0" zoomScaleNormal="100" workbookViewId="0">
      <selection activeCell="D41" sqref="D41"/>
    </sheetView>
  </sheetViews>
  <sheetFormatPr baseColWidth="10" defaultColWidth="9.140625" defaultRowHeight="15" x14ac:dyDescent="0.25"/>
  <cols>
    <col min="1" max="1" width="9.7109375" customWidth="1"/>
    <col min="2" max="2" width="53" bestFit="1" customWidth="1"/>
    <col min="3" max="3" width="10.140625" bestFit="1" customWidth="1"/>
    <col min="4" max="4" width="88.42578125" customWidth="1"/>
    <col min="5" max="5" width="10.140625" bestFit="1" customWidth="1"/>
    <col min="6" max="6" width="19.140625" customWidth="1"/>
    <col min="7" max="7" width="13.7109375" customWidth="1"/>
    <col min="8" max="8" width="11.85546875" customWidth="1"/>
    <col min="9" max="9" width="12.28515625" customWidth="1"/>
    <col min="10" max="10" width="12.5703125" customWidth="1"/>
  </cols>
  <sheetData>
    <row r="1" spans="1:22" x14ac:dyDescent="0.25">
      <c r="A1" s="2" t="s">
        <v>8</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16" t="s">
        <v>33</v>
      </c>
      <c r="G3" s="2">
        <v>2027</v>
      </c>
      <c r="H3" s="2">
        <v>2028</v>
      </c>
      <c r="I3" s="2">
        <v>2029</v>
      </c>
      <c r="J3" s="34">
        <v>2030</v>
      </c>
    </row>
    <row r="4" spans="1:22" x14ac:dyDescent="0.25">
      <c r="A4" t="s">
        <v>5</v>
      </c>
      <c r="B4" s="5" t="s">
        <v>7</v>
      </c>
      <c r="C4" s="4" t="s">
        <v>6</v>
      </c>
      <c r="D4" t="s">
        <v>19</v>
      </c>
      <c r="E4" s="35"/>
      <c r="F4" s="18">
        <f>NPV('Tallgrunnlag inputdata'!$B$6,'T1 - Styrke lavterskel helsetj.'!G4:J4)</f>
        <v>468178.23529411765</v>
      </c>
      <c r="G4" s="37">
        <f>'Tallgrunnlag inputdata'!B58</f>
        <v>486905.36470588238</v>
      </c>
      <c r="H4" s="37">
        <v>0</v>
      </c>
      <c r="I4" s="37">
        <v>0</v>
      </c>
      <c r="J4" s="38">
        <v>0</v>
      </c>
    </row>
    <row r="5" spans="1:22" x14ac:dyDescent="0.25">
      <c r="A5" t="s">
        <v>5</v>
      </c>
      <c r="B5" s="5" t="s">
        <v>7</v>
      </c>
      <c r="C5" s="6" t="s">
        <v>14</v>
      </c>
      <c r="D5" t="s">
        <v>969</v>
      </c>
      <c r="E5" s="4"/>
      <c r="F5" s="18">
        <f>NPV('Tallgrunnlag inputdata'!$B$6,'T1 - Styrke lavterskel helsetj.'!G5:J5)</f>
        <v>155965.67541132291</v>
      </c>
      <c r="G5" s="40">
        <f>'Tallgrunnlag inputdata'!B66</f>
        <v>84260.647058823524</v>
      </c>
      <c r="H5" s="40">
        <f>'Tallgrunnlag inputdata'!$B$67</f>
        <v>28086.882352941178</v>
      </c>
      <c r="I5" s="40">
        <f>'Tallgrunnlag inputdata'!$B$67</f>
        <v>28086.882352941178</v>
      </c>
      <c r="J5" s="24">
        <f>'Tallgrunnlag inputdata'!$B$67</f>
        <v>28086.882352941178</v>
      </c>
    </row>
    <row r="6" spans="1:22" x14ac:dyDescent="0.25">
      <c r="A6" s="7" t="s">
        <v>5</v>
      </c>
      <c r="B6" s="8" t="s">
        <v>7</v>
      </c>
      <c r="C6" s="9" t="s">
        <v>15</v>
      </c>
      <c r="D6" s="7" t="s">
        <v>44</v>
      </c>
      <c r="E6" s="9"/>
      <c r="F6" s="43">
        <f>NPV('Tallgrunnlag inputdata'!$B$6,'T1 - Styrke lavterskel helsetj.'!G6:J6)</f>
        <v>2242072.259130097</v>
      </c>
      <c r="G6" s="27">
        <f>'Tallgrunnlag inputdata'!B77</f>
        <v>1662703.0588235294</v>
      </c>
      <c r="H6" s="27">
        <f>'Tallgrunnlag inputdata'!$B$78</f>
        <v>241091.94352941174</v>
      </c>
      <c r="I6" s="27">
        <f>'Tallgrunnlag inputdata'!$B$78</f>
        <v>241091.94352941174</v>
      </c>
      <c r="J6" s="28">
        <f>'Tallgrunnlag inputdata'!$B$78</f>
        <v>241091.94352941174</v>
      </c>
    </row>
    <row r="7" spans="1:22" x14ac:dyDescent="0.25">
      <c r="A7" s="4" t="s">
        <v>9</v>
      </c>
      <c r="B7" t="s">
        <v>10</v>
      </c>
      <c r="C7" s="4" t="s">
        <v>17</v>
      </c>
      <c r="D7" t="s">
        <v>52</v>
      </c>
      <c r="E7" s="4"/>
      <c r="F7" s="18">
        <f>NPV('Tallgrunnlag inputdata'!$B$6,'T1 - Styrke lavterskel helsetj.'!G7:J7)</f>
        <v>468178.23529411765</v>
      </c>
      <c r="G7" s="19">
        <f>'Tallgrunnlag inputdata'!B86</f>
        <v>486905.36470588238</v>
      </c>
      <c r="H7" s="19">
        <v>0</v>
      </c>
      <c r="I7" s="19">
        <v>0</v>
      </c>
      <c r="J7" s="24">
        <v>0</v>
      </c>
    </row>
    <row r="8" spans="1:22" x14ac:dyDescent="0.25">
      <c r="A8" s="4" t="s">
        <v>9</v>
      </c>
      <c r="B8" t="s">
        <v>10</v>
      </c>
      <c r="C8" s="4" t="s">
        <v>13</v>
      </c>
      <c r="D8" t="s">
        <v>20</v>
      </c>
      <c r="E8" s="4"/>
      <c r="F8" s="18">
        <f>NPV('Tallgrunnlag inputdata'!$B$6,'T1 - Styrke lavterskel helsetj.'!G8:J8)</f>
        <v>155965.67541132291</v>
      </c>
      <c r="G8" s="19">
        <f>'Tallgrunnlag inputdata'!B95</f>
        <v>84260.647058823524</v>
      </c>
      <c r="H8" s="19">
        <f>'Tallgrunnlag inputdata'!$B$96</f>
        <v>28086.882352941178</v>
      </c>
      <c r="I8" s="19">
        <f>'Tallgrunnlag inputdata'!$B$96</f>
        <v>28086.882352941178</v>
      </c>
      <c r="J8" s="24">
        <f>'Tallgrunnlag inputdata'!$B$96</f>
        <v>28086.882352941178</v>
      </c>
    </row>
    <row r="9" spans="1:22" x14ac:dyDescent="0.25">
      <c r="A9" s="9" t="s">
        <v>9</v>
      </c>
      <c r="B9" s="7" t="s">
        <v>10</v>
      </c>
      <c r="C9" s="9" t="s">
        <v>21</v>
      </c>
      <c r="D9" s="7" t="s">
        <v>22</v>
      </c>
      <c r="E9" s="9"/>
      <c r="F9" s="43">
        <f>NPV('Tallgrunnlag inputdata'!$B$6,'T1 - Styrke lavterskel helsetj.'!G9:J9)</f>
        <v>1417402.0028983371</v>
      </c>
      <c r="G9" s="27">
        <f>'Tallgrunnlag inputdata'!B105</f>
        <v>1051134.1176470588</v>
      </c>
      <c r="H9" s="27">
        <f>'Tallgrunnlag inputdata'!$B$106</f>
        <v>152414.44705882351</v>
      </c>
      <c r="I9" s="27">
        <f>'Tallgrunnlag inputdata'!$B$106</f>
        <v>152414.44705882351</v>
      </c>
      <c r="J9" s="28">
        <f>'Tallgrunnlag inputdata'!$B$106</f>
        <v>152414.44705882351</v>
      </c>
    </row>
    <row r="10" spans="1:22" x14ac:dyDescent="0.25">
      <c r="A10" t="s">
        <v>11</v>
      </c>
      <c r="B10" t="s">
        <v>51</v>
      </c>
      <c r="C10" s="6" t="s">
        <v>23</v>
      </c>
      <c r="D10" t="s">
        <v>25</v>
      </c>
      <c r="F10" s="18">
        <f>NPV('Tallgrunnlag inputdata'!$B$6,'T1 - Styrke lavterskel helsetj.'!G10:J10)</f>
        <v>468178.23529411765</v>
      </c>
      <c r="G10" s="19">
        <f>'Tallgrunnlag inputdata'!B115</f>
        <v>486905.36470588238</v>
      </c>
      <c r="H10" s="19">
        <v>0</v>
      </c>
      <c r="I10" s="19">
        <v>0</v>
      </c>
      <c r="J10" s="24">
        <v>0</v>
      </c>
    </row>
    <row r="11" spans="1:22" x14ac:dyDescent="0.25">
      <c r="A11" t="s">
        <v>11</v>
      </c>
      <c r="B11" t="s">
        <v>51</v>
      </c>
      <c r="C11" s="6" t="s">
        <v>24</v>
      </c>
      <c r="D11" t="s">
        <v>26</v>
      </c>
      <c r="F11" s="18">
        <f>NPV('Tallgrunnlag inputdata'!$B$6,'T1 - Styrke lavterskel helsetj.'!G11:J11)</f>
        <v>158524076.30775756</v>
      </c>
      <c r="G11" s="19">
        <f>'Tallgrunnlag inputdata'!B126</f>
        <v>117560201.50588235</v>
      </c>
      <c r="H11" s="19">
        <f>'Tallgrunnlag inputdata'!$B$127</f>
        <v>17046229.21835294</v>
      </c>
      <c r="I11" s="19">
        <f>'Tallgrunnlag inputdata'!$B$127</f>
        <v>17046229.21835294</v>
      </c>
      <c r="J11" s="28">
        <f>'Tallgrunnlag inputdata'!$B$127</f>
        <v>17046229.21835294</v>
      </c>
    </row>
    <row r="12" spans="1:22" x14ac:dyDescent="0.25">
      <c r="A12" s="53" t="s">
        <v>111</v>
      </c>
      <c r="B12" s="53" t="s">
        <v>967</v>
      </c>
      <c r="C12" s="71" t="s">
        <v>112</v>
      </c>
      <c r="D12" s="53" t="s">
        <v>967</v>
      </c>
      <c r="E12" s="53"/>
      <c r="F12" s="98">
        <f>NPV('Tallgrunnlag inputdata'!$B$6,'T1 - Styrke lavterskel helsetj.'!G12:J12)</f>
        <v>16390001.662649099</v>
      </c>
      <c r="G12" s="99">
        <f>SUM(G4:G11)*'Tallgrunnlag inputdata'!$B$9</f>
        <v>12190327.607058823</v>
      </c>
      <c r="H12" s="99">
        <f>SUM(H4:H11)*'Tallgrunnlag inputdata'!$B$9</f>
        <v>1749590.9373647058</v>
      </c>
      <c r="I12" s="99">
        <f>SUM(I4:I11)*'Tallgrunnlag inputdata'!$B$9</f>
        <v>1749590.9373647058</v>
      </c>
      <c r="J12" s="101">
        <f>SUM(J4:J11)*'Tallgrunnlag inputdata'!$B$9</f>
        <v>1749590.9373647058</v>
      </c>
    </row>
    <row r="14" spans="1:22" x14ac:dyDescent="0.25">
      <c r="E14" s="2" t="s">
        <v>31</v>
      </c>
      <c r="F14" s="29">
        <f>SUM(F4:F12)</f>
        <v>180290018.28914008</v>
      </c>
    </row>
    <row r="15" spans="1:22" x14ac:dyDescent="0.25">
      <c r="B15" s="2"/>
    </row>
    <row r="16" spans="1:22" x14ac:dyDescent="0.25">
      <c r="C16" s="20"/>
    </row>
    <row r="17" spans="1:4" x14ac:dyDescent="0.25">
      <c r="A17" s="10"/>
    </row>
    <row r="18" spans="1:4" x14ac:dyDescent="0.25">
      <c r="A18" s="11"/>
    </row>
    <row r="19" spans="1:4" x14ac:dyDescent="0.25">
      <c r="A19" s="11"/>
    </row>
    <row r="20" spans="1:4" x14ac:dyDescent="0.25">
      <c r="A20" s="11"/>
    </row>
    <row r="30" spans="1:4" x14ac:dyDescent="0.25">
      <c r="D30" s="13"/>
    </row>
    <row r="31" spans="1:4" x14ac:dyDescent="0.25">
      <c r="D31" s="13"/>
    </row>
    <row r="32" spans="1:4" x14ac:dyDescent="0.25">
      <c r="D32" s="13"/>
    </row>
    <row r="33" spans="4:4" x14ac:dyDescent="0.25">
      <c r="D33" s="13"/>
    </row>
    <row r="34" spans="4:4" x14ac:dyDescent="0.25">
      <c r="D34" s="13"/>
    </row>
  </sheetData>
  <pageMargins left="0.7" right="0.7" top="0.75" bottom="0.75" header="0.3" footer="0.3"/>
  <pageSetup orientation="portrait" r:id="rId1"/>
  <ignoredErrors>
    <ignoredError sqref="C4 C7 C5:C6 C10:C11 C8:C9 C12"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63D0B-BD8A-4B6E-BC5F-F834EE70AF80}">
  <dimension ref="A1:V45"/>
  <sheetViews>
    <sheetView showGridLines="0" zoomScaleNormal="100" workbookViewId="0">
      <selection activeCell="I6" sqref="I6"/>
    </sheetView>
  </sheetViews>
  <sheetFormatPr baseColWidth="10" defaultColWidth="9.140625" defaultRowHeight="15" x14ac:dyDescent="0.25"/>
  <cols>
    <col min="1" max="1" width="9.7109375" customWidth="1"/>
    <col min="2" max="2" width="82.7109375" customWidth="1"/>
    <col min="3" max="3" width="10.140625" bestFit="1" customWidth="1"/>
    <col min="4" max="4" width="95.7109375" bestFit="1" customWidth="1"/>
    <col min="5" max="5" width="10.140625" bestFit="1" customWidth="1"/>
    <col min="6" max="6" width="22.140625" bestFit="1" customWidth="1"/>
    <col min="7" max="7" width="12" bestFit="1" customWidth="1"/>
    <col min="8" max="10" width="18.7109375" bestFit="1" customWidth="1"/>
  </cols>
  <sheetData>
    <row r="1" spans="1:22" x14ac:dyDescent="0.25">
      <c r="A1" s="2" t="s">
        <v>68</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E3" s="7"/>
      <c r="F3" s="16" t="s">
        <v>33</v>
      </c>
      <c r="G3" s="17">
        <v>2027</v>
      </c>
      <c r="H3" s="17">
        <v>2028</v>
      </c>
      <c r="I3" s="17">
        <v>2029</v>
      </c>
      <c r="J3" s="23">
        <v>2030</v>
      </c>
    </row>
    <row r="4" spans="1:22" x14ac:dyDescent="0.25">
      <c r="A4" s="53" t="s">
        <v>5</v>
      </c>
      <c r="B4" s="70" t="s">
        <v>35</v>
      </c>
      <c r="C4" s="54" t="s">
        <v>6</v>
      </c>
      <c r="D4" s="53" t="s">
        <v>35</v>
      </c>
      <c r="E4" s="53"/>
      <c r="F4" s="55">
        <f>NPV('Tallgrunnlag inputdata'!$B$6,G4:J4)</f>
        <v>3712696.1538461535</v>
      </c>
      <c r="G4" s="56">
        <f>'Tallgrunnlag inputdata'!B145</f>
        <v>3861204</v>
      </c>
      <c r="H4" s="56">
        <v>0</v>
      </c>
      <c r="I4" s="56">
        <v>0</v>
      </c>
      <c r="J4" s="57">
        <v>0</v>
      </c>
    </row>
    <row r="5" spans="1:22" x14ac:dyDescent="0.25">
      <c r="A5" s="4" t="s">
        <v>9</v>
      </c>
      <c r="B5" t="s">
        <v>38</v>
      </c>
      <c r="C5" s="4" t="s">
        <v>17</v>
      </c>
      <c r="D5" t="s">
        <v>38</v>
      </c>
      <c r="F5" s="13">
        <f>NPV('Tallgrunnlag inputdata'!$B$6,G5:J5)</f>
        <v>171220341.65908051</v>
      </c>
      <c r="G5" s="19">
        <v>0</v>
      </c>
      <c r="H5" s="19">
        <f>'Tallgrunnlag inputdata'!B167</f>
        <v>64166959.999999993</v>
      </c>
      <c r="I5" s="19">
        <f>'Tallgrunnlag inputdata'!B167</f>
        <v>64166959.999999993</v>
      </c>
      <c r="J5" s="57">
        <f>'Tallgrunnlag inputdata'!B167</f>
        <v>64166959.999999993</v>
      </c>
    </row>
    <row r="6" spans="1:22" x14ac:dyDescent="0.25">
      <c r="A6" s="53" t="s">
        <v>11</v>
      </c>
      <c r="B6" s="53" t="s">
        <v>967</v>
      </c>
      <c r="C6" s="71" t="s">
        <v>23</v>
      </c>
      <c r="D6" s="53" t="s">
        <v>967</v>
      </c>
      <c r="E6" s="53"/>
      <c r="F6" s="55">
        <f>NPV('Tallgrunnlag inputdata'!$B$6,G6:J6)</f>
        <v>17493303.781292673</v>
      </c>
      <c r="G6" s="99">
        <f>SUM(G4:G5)*'Tallgrunnlag inputdata'!$B$9</f>
        <v>386120.4</v>
      </c>
      <c r="H6" s="99">
        <f>SUM(H4:H5)*'Tallgrunnlag inputdata'!$B$9</f>
        <v>6416696</v>
      </c>
      <c r="I6" s="99">
        <f>SUM(I4:I5)*'Tallgrunnlag inputdata'!$B$9</f>
        <v>6416696</v>
      </c>
      <c r="J6" s="101">
        <f>SUM(J4:J5)*'Tallgrunnlag inputdata'!$B$9</f>
        <v>6416696</v>
      </c>
    </row>
    <row r="8" spans="1:22" ht="21" x14ac:dyDescent="0.25">
      <c r="B8" s="48"/>
      <c r="E8" s="2" t="s">
        <v>31</v>
      </c>
      <c r="F8" s="29">
        <f>SUM(F3:F6)</f>
        <v>192426341.59421933</v>
      </c>
    </row>
    <row r="9" spans="1:22" x14ac:dyDescent="0.25">
      <c r="A9" s="21"/>
      <c r="B9" s="21"/>
    </row>
    <row r="10" spans="1:22" x14ac:dyDescent="0.25">
      <c r="A10" s="11"/>
      <c r="B10" s="21"/>
    </row>
    <row r="11" spans="1:22" x14ac:dyDescent="0.25">
      <c r="A11" s="11"/>
      <c r="B11" s="21"/>
    </row>
    <row r="12" spans="1:22" x14ac:dyDescent="0.25">
      <c r="A12" s="11"/>
      <c r="B12" s="22"/>
    </row>
    <row r="13" spans="1:22" x14ac:dyDescent="0.25">
      <c r="B13" s="22"/>
    </row>
    <row r="14" spans="1:22" x14ac:dyDescent="0.25">
      <c r="B14" s="21"/>
    </row>
    <row r="15" spans="1:22" x14ac:dyDescent="0.25">
      <c r="B15" s="21"/>
    </row>
    <row r="16" spans="1:22" x14ac:dyDescent="0.25">
      <c r="B16" s="22"/>
    </row>
    <row r="17" spans="1:4" x14ac:dyDescent="0.25">
      <c r="B17" s="21"/>
    </row>
    <row r="18" spans="1:4" x14ac:dyDescent="0.25">
      <c r="B18" s="22"/>
    </row>
    <row r="19" spans="1:4" x14ac:dyDescent="0.25">
      <c r="B19" s="21"/>
    </row>
    <row r="20" spans="1:4" x14ac:dyDescent="0.25">
      <c r="B20" s="22"/>
    </row>
    <row r="21" spans="1:4" x14ac:dyDescent="0.25">
      <c r="B21" s="22"/>
    </row>
    <row r="22" spans="1:4" x14ac:dyDescent="0.25">
      <c r="B22" s="22"/>
    </row>
    <row r="23" spans="1:4" x14ac:dyDescent="0.25">
      <c r="B23" s="22"/>
    </row>
    <row r="24" spans="1:4" x14ac:dyDescent="0.25">
      <c r="B24" s="21"/>
    </row>
    <row r="25" spans="1:4" x14ac:dyDescent="0.25">
      <c r="B25" s="22"/>
    </row>
    <row r="26" spans="1:4" x14ac:dyDescent="0.25">
      <c r="A26" s="112"/>
      <c r="B26" s="113"/>
      <c r="C26" s="112"/>
      <c r="D26" s="112"/>
    </row>
    <row r="27" spans="1:4" x14ac:dyDescent="0.25">
      <c r="A27" s="112"/>
      <c r="B27" s="113"/>
      <c r="C27" s="112"/>
      <c r="D27" s="112"/>
    </row>
    <row r="28" spans="1:4" x14ac:dyDescent="0.25">
      <c r="A28" s="112"/>
      <c r="B28" s="114"/>
      <c r="C28" s="112"/>
      <c r="D28" s="112"/>
    </row>
    <row r="29" spans="1:4" x14ac:dyDescent="0.25">
      <c r="A29" s="112"/>
      <c r="B29" s="113"/>
      <c r="C29" s="112"/>
      <c r="D29" s="112"/>
    </row>
    <row r="30" spans="1:4" x14ac:dyDescent="0.25">
      <c r="A30" s="112"/>
      <c r="B30" s="113"/>
      <c r="C30" s="112"/>
      <c r="D30" s="112"/>
    </row>
    <row r="31" spans="1:4" x14ac:dyDescent="0.25">
      <c r="A31" s="112"/>
      <c r="B31" s="114"/>
      <c r="C31" s="112"/>
      <c r="D31" s="112"/>
    </row>
    <row r="32" spans="1:4" x14ac:dyDescent="0.25">
      <c r="A32" s="112"/>
      <c r="B32" s="115"/>
      <c r="C32" s="115"/>
      <c r="D32" s="112"/>
    </row>
    <row r="33" spans="1:4" x14ac:dyDescent="0.25">
      <c r="A33" s="112"/>
      <c r="B33" s="116"/>
      <c r="C33" s="116"/>
      <c r="D33" s="112"/>
    </row>
    <row r="34" spans="1:4" x14ac:dyDescent="0.25">
      <c r="A34" s="112"/>
      <c r="B34" s="114"/>
      <c r="C34" s="112"/>
      <c r="D34" s="112"/>
    </row>
    <row r="35" spans="1:4" x14ac:dyDescent="0.25">
      <c r="A35" s="112"/>
      <c r="B35" s="114"/>
      <c r="C35" s="112"/>
      <c r="D35" s="112"/>
    </row>
    <row r="36" spans="1:4" x14ac:dyDescent="0.25">
      <c r="A36" s="112"/>
      <c r="B36" s="113"/>
      <c r="C36" s="112"/>
      <c r="D36" s="112"/>
    </row>
    <row r="37" spans="1:4" x14ac:dyDescent="0.25">
      <c r="A37" s="112"/>
      <c r="B37" s="113"/>
      <c r="C37" s="112"/>
      <c r="D37" s="112"/>
    </row>
    <row r="38" spans="1:4" x14ac:dyDescent="0.25">
      <c r="A38" s="112"/>
      <c r="B38" s="114"/>
      <c r="C38" s="112"/>
      <c r="D38" s="112"/>
    </row>
    <row r="39" spans="1:4" x14ac:dyDescent="0.25">
      <c r="B39" s="22"/>
    </row>
    <row r="40" spans="1:4" x14ac:dyDescent="0.25">
      <c r="B40" s="49"/>
    </row>
    <row r="41" spans="1:4" x14ac:dyDescent="0.25">
      <c r="B41" s="50"/>
    </row>
    <row r="43" spans="1:4" x14ac:dyDescent="0.25">
      <c r="B43" s="50"/>
    </row>
    <row r="44" spans="1:4" x14ac:dyDescent="0.25">
      <c r="B44" s="51"/>
    </row>
    <row r="45" spans="1:4" x14ac:dyDescent="0.25">
      <c r="B45" s="50"/>
    </row>
  </sheetData>
  <pageMargins left="0.7" right="0.7" top="0.75" bottom="0.75" header="0.3" footer="0.3"/>
  <ignoredErrors>
    <ignoredError sqref="C4 C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DDD54-B25E-45CD-908C-46AC268278D4}">
  <dimension ref="A1:V253"/>
  <sheetViews>
    <sheetView showGridLines="0" topLeftCell="B1" zoomScaleNormal="100" workbookViewId="0">
      <selection activeCell="F13" sqref="F13"/>
    </sheetView>
  </sheetViews>
  <sheetFormatPr baseColWidth="10" defaultColWidth="9.140625" defaultRowHeight="15" x14ac:dyDescent="0.25"/>
  <cols>
    <col min="1" max="1" width="9.7109375" customWidth="1"/>
    <col min="2" max="2" width="82.7109375" customWidth="1"/>
    <col min="3" max="3" width="10.140625" bestFit="1" customWidth="1"/>
    <col min="4" max="4" width="95.7109375" bestFit="1" customWidth="1"/>
    <col min="5" max="5" width="10.140625" bestFit="1" customWidth="1"/>
    <col min="6" max="6" width="19.140625" customWidth="1"/>
    <col min="7" max="9" width="12" bestFit="1" customWidth="1"/>
    <col min="10" max="10" width="11.7109375" customWidth="1"/>
    <col min="13" max="13" width="9.140625" customWidth="1"/>
    <col min="14" max="14" width="57.5703125" customWidth="1"/>
    <col min="15" max="15" width="20.7109375" customWidth="1"/>
  </cols>
  <sheetData>
    <row r="1" spans="1:22" x14ac:dyDescent="0.25">
      <c r="A1" s="2" t="s">
        <v>197</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E3" s="7"/>
      <c r="F3" s="16" t="s">
        <v>33</v>
      </c>
      <c r="G3" s="17">
        <v>2027</v>
      </c>
      <c r="H3" s="17">
        <v>2028</v>
      </c>
      <c r="I3" s="17">
        <v>2029</v>
      </c>
      <c r="J3" s="23">
        <v>2030</v>
      </c>
    </row>
    <row r="4" spans="1:22" x14ac:dyDescent="0.25">
      <c r="A4" t="s">
        <v>5</v>
      </c>
      <c r="B4" s="5" t="s">
        <v>395</v>
      </c>
      <c r="C4" s="4" t="s">
        <v>6</v>
      </c>
      <c r="D4" t="s">
        <v>394</v>
      </c>
      <c r="F4" s="13">
        <f>NPV('Tallgrunnlag inputdata'!$B$6,G4:J4)</f>
        <v>13559971.76470588</v>
      </c>
      <c r="G4" s="19">
        <f>'Tallgrunnlag inputdata'!B184</f>
        <v>14102370.635294115</v>
      </c>
      <c r="H4" s="19">
        <v>0</v>
      </c>
      <c r="I4" s="19">
        <v>0</v>
      </c>
      <c r="J4" s="24">
        <v>0</v>
      </c>
    </row>
    <row r="5" spans="1:22" x14ac:dyDescent="0.25">
      <c r="A5" s="7" t="s">
        <v>5</v>
      </c>
      <c r="B5" s="8" t="s">
        <v>395</v>
      </c>
      <c r="C5" s="9" t="s">
        <v>14</v>
      </c>
      <c r="D5" s="7" t="s">
        <v>391</v>
      </c>
      <c r="E5" s="7"/>
      <c r="F5" s="26">
        <f>NPV('Tallgrunnlag inputdata'!$B$6,G5:J5)</f>
        <v>16161924.705882352</v>
      </c>
      <c r="G5" s="27">
        <f>'Tallgrunnlag inputdata'!B197</f>
        <v>16808401.694117647</v>
      </c>
      <c r="H5" s="27">
        <v>0</v>
      </c>
      <c r="I5" s="27">
        <v>0</v>
      </c>
      <c r="J5" s="28">
        <v>0</v>
      </c>
    </row>
    <row r="6" spans="1:22" x14ac:dyDescent="0.25">
      <c r="A6" s="4" t="s">
        <v>9</v>
      </c>
      <c r="B6" t="s">
        <v>998</v>
      </c>
      <c r="C6" s="4" t="s">
        <v>17</v>
      </c>
      <c r="D6" t="s">
        <v>392</v>
      </c>
      <c r="F6" s="13">
        <f>NPV('Tallgrunnlag inputdata'!$B$6,G6:J6)</f>
        <v>28934339.741358541</v>
      </c>
      <c r="G6" s="19">
        <v>0</v>
      </c>
      <c r="H6" s="19">
        <f>'Tallgrunnlag inputdata'!$B$209</f>
        <v>10843504.941176472</v>
      </c>
      <c r="I6" s="19">
        <f>'Tallgrunnlag inputdata'!$B$209</f>
        <v>10843504.941176472</v>
      </c>
      <c r="J6" s="38">
        <f>'Tallgrunnlag inputdata'!$B$209</f>
        <v>10843504.941176472</v>
      </c>
    </row>
    <row r="7" spans="1:22" x14ac:dyDescent="0.25">
      <c r="A7" s="4" t="s">
        <v>9</v>
      </c>
      <c r="B7" t="s">
        <v>998</v>
      </c>
      <c r="C7" s="4" t="s">
        <v>13</v>
      </c>
      <c r="D7" t="s">
        <v>421</v>
      </c>
      <c r="F7" s="13">
        <f>NPV('Tallgrunnlag inputdata'!$B$6,G7:J7)</f>
        <v>81980629.267182529</v>
      </c>
      <c r="G7" s="19">
        <v>0</v>
      </c>
      <c r="H7" s="19">
        <f>'Tallgrunnlag inputdata'!$B$220</f>
        <v>30723264.000000004</v>
      </c>
      <c r="I7" s="19">
        <f>'Tallgrunnlag inputdata'!$B$220</f>
        <v>30723264.000000004</v>
      </c>
      <c r="J7" s="24">
        <f>'Tallgrunnlag inputdata'!$B$220</f>
        <v>30723264.000000004</v>
      </c>
    </row>
    <row r="8" spans="1:22" x14ac:dyDescent="0.25">
      <c r="A8" s="9" t="s">
        <v>9</v>
      </c>
      <c r="B8" t="s">
        <v>998</v>
      </c>
      <c r="C8" s="9" t="s">
        <v>21</v>
      </c>
      <c r="D8" s="7" t="s">
        <v>393</v>
      </c>
      <c r="E8" s="7"/>
      <c r="F8" s="26">
        <f>NPV('Tallgrunnlag inputdata'!$B$6,G8:J8)</f>
        <v>9644779.9137861785</v>
      </c>
      <c r="G8" s="27">
        <v>0</v>
      </c>
      <c r="H8" s="27">
        <f>'Tallgrunnlag inputdata'!$B$230</f>
        <v>3614501.6470588241</v>
      </c>
      <c r="I8" s="27">
        <f>'Tallgrunnlag inputdata'!$B$230</f>
        <v>3614501.6470588241</v>
      </c>
      <c r="J8" s="28">
        <f>'Tallgrunnlag inputdata'!$B$230</f>
        <v>3614501.6470588241</v>
      </c>
    </row>
    <row r="9" spans="1:22" x14ac:dyDescent="0.25">
      <c r="A9" s="53" t="s">
        <v>11</v>
      </c>
      <c r="B9" s="53" t="s">
        <v>967</v>
      </c>
      <c r="C9" s="71" t="s">
        <v>23</v>
      </c>
      <c r="D9" s="53" t="s">
        <v>967</v>
      </c>
      <c r="E9" s="53"/>
      <c r="F9" s="55">
        <f>NPV('Tallgrunnlag inputdata'!$B$6,G9:J9)</f>
        <v>15028164.539291546</v>
      </c>
      <c r="G9" s="99">
        <f>SUM(G4:G8)*'Tallgrunnlag inputdata'!$B$9</f>
        <v>3091077.2329411763</v>
      </c>
      <c r="H9" s="99">
        <f>SUM(H4:H8)*'Tallgrunnlag inputdata'!$B$9</f>
        <v>4518127.0588235296</v>
      </c>
      <c r="I9" s="99">
        <f>SUM(I4:I8)*'Tallgrunnlag inputdata'!$B$9</f>
        <v>4518127.0588235296</v>
      </c>
      <c r="J9" s="101">
        <f>SUM(J4:J8)*'Tallgrunnlag inputdata'!$B$9</f>
        <v>4518127.0588235296</v>
      </c>
    </row>
    <row r="11" spans="1:22" x14ac:dyDescent="0.25">
      <c r="E11" s="2" t="s">
        <v>31</v>
      </c>
      <c r="F11" s="29">
        <f>SUM(F4:F9)</f>
        <v>165309809.93220705</v>
      </c>
    </row>
    <row r="12" spans="1:22" ht="21" x14ac:dyDescent="0.25">
      <c r="B12" s="129"/>
      <c r="C12" s="112"/>
    </row>
    <row r="13" spans="1:22" x14ac:dyDescent="0.25">
      <c r="A13" s="21"/>
      <c r="B13" s="114"/>
      <c r="C13" s="112"/>
      <c r="F13" s="14"/>
    </row>
    <row r="14" spans="1:22" x14ac:dyDescent="0.25">
      <c r="A14" s="11"/>
      <c r="B14" s="114"/>
      <c r="C14" s="112"/>
    </row>
    <row r="15" spans="1:22" x14ac:dyDescent="0.25">
      <c r="A15" s="11"/>
      <c r="B15" s="113"/>
      <c r="C15" s="112"/>
    </row>
    <row r="16" spans="1:22" x14ac:dyDescent="0.25">
      <c r="A16" s="11"/>
      <c r="B16" s="113"/>
      <c r="C16" s="112"/>
    </row>
    <row r="17" spans="2:15" x14ac:dyDescent="0.25">
      <c r="B17" s="113"/>
      <c r="C17" s="112"/>
    </row>
    <row r="18" spans="2:15" x14ac:dyDescent="0.25">
      <c r="B18" s="130"/>
      <c r="C18" s="112"/>
    </row>
    <row r="19" spans="2:15" x14ac:dyDescent="0.25">
      <c r="B19" s="131"/>
      <c r="C19" s="112"/>
      <c r="O19" s="14"/>
    </row>
    <row r="20" spans="2:15" x14ac:dyDescent="0.25">
      <c r="B20" s="131"/>
      <c r="C20" s="112"/>
      <c r="O20" s="14"/>
    </row>
    <row r="21" spans="2:15" x14ac:dyDescent="0.25">
      <c r="B21" s="130"/>
      <c r="C21" s="112"/>
      <c r="O21" s="14"/>
    </row>
    <row r="22" spans="2:15" x14ac:dyDescent="0.25">
      <c r="B22" s="131"/>
      <c r="C22" s="112"/>
      <c r="O22" s="14"/>
    </row>
    <row r="23" spans="2:15" x14ac:dyDescent="0.25">
      <c r="B23" s="130"/>
      <c r="C23" s="112"/>
    </row>
    <row r="24" spans="2:15" x14ac:dyDescent="0.25">
      <c r="B24" s="131"/>
      <c r="C24" s="112"/>
    </row>
    <row r="25" spans="2:15" x14ac:dyDescent="0.25">
      <c r="B25" s="130"/>
      <c r="C25" s="112"/>
    </row>
    <row r="26" spans="2:15" x14ac:dyDescent="0.25">
      <c r="B26" s="131"/>
      <c r="C26" s="112"/>
    </row>
    <row r="27" spans="2:15" x14ac:dyDescent="0.25">
      <c r="B27" s="114"/>
      <c r="C27" s="112"/>
    </row>
    <row r="28" spans="2:15" x14ac:dyDescent="0.25">
      <c r="B28" s="113"/>
      <c r="C28" s="112"/>
    </row>
    <row r="29" spans="2:15" x14ac:dyDescent="0.25">
      <c r="B29" s="113"/>
      <c r="C29" s="112"/>
    </row>
    <row r="30" spans="2:15" x14ac:dyDescent="0.25">
      <c r="B30" s="113"/>
      <c r="C30" s="112"/>
    </row>
    <row r="31" spans="2:15" x14ac:dyDescent="0.25">
      <c r="B31" s="114"/>
      <c r="C31" s="112"/>
    </row>
    <row r="32" spans="2:15" x14ac:dyDescent="0.25">
      <c r="B32" s="115"/>
      <c r="C32" s="115"/>
    </row>
    <row r="33" spans="2:3" x14ac:dyDescent="0.25">
      <c r="B33" s="116"/>
      <c r="C33" s="116"/>
    </row>
    <row r="34" spans="2:3" x14ac:dyDescent="0.25">
      <c r="B34" s="130"/>
      <c r="C34" s="112"/>
    </row>
    <row r="35" spans="2:3" x14ac:dyDescent="0.25">
      <c r="B35" s="114"/>
      <c r="C35" s="112"/>
    </row>
    <row r="36" spans="2:3" x14ac:dyDescent="0.25">
      <c r="B36" s="113"/>
      <c r="C36" s="112"/>
    </row>
    <row r="37" spans="2:3" x14ac:dyDescent="0.25">
      <c r="B37" s="113"/>
      <c r="C37" s="112"/>
    </row>
    <row r="38" spans="2:3" x14ac:dyDescent="0.25">
      <c r="B38" s="132"/>
      <c r="C38" s="112"/>
    </row>
    <row r="39" spans="2:3" x14ac:dyDescent="0.25">
      <c r="B39" s="132"/>
      <c r="C39" s="112"/>
    </row>
    <row r="40" spans="2:3" x14ac:dyDescent="0.25">
      <c r="B40" s="114"/>
      <c r="C40" s="112"/>
    </row>
    <row r="41" spans="2:3" x14ac:dyDescent="0.25">
      <c r="B41" s="113"/>
      <c r="C41" s="112"/>
    </row>
    <row r="42" spans="2:3" x14ac:dyDescent="0.25">
      <c r="B42" s="133"/>
      <c r="C42" s="112"/>
    </row>
    <row r="43" spans="2:3" x14ac:dyDescent="0.25">
      <c r="B43" s="132"/>
      <c r="C43" s="112"/>
    </row>
    <row r="46" spans="2:3" x14ac:dyDescent="0.25">
      <c r="B46" s="2" t="s">
        <v>198</v>
      </c>
    </row>
    <row r="47" spans="2:3" x14ac:dyDescent="0.25">
      <c r="B47" s="2">
        <f>B77+B128+B156+B172+B215+B219+B253</f>
        <v>185</v>
      </c>
      <c r="C47" t="s">
        <v>386</v>
      </c>
    </row>
    <row r="48" spans="2:3" x14ac:dyDescent="0.25">
      <c r="B48" s="2">
        <v>181</v>
      </c>
      <c r="C48" t="s">
        <v>387</v>
      </c>
    </row>
    <row r="49" spans="2:3" x14ac:dyDescent="0.25">
      <c r="B49" s="77">
        <f>357-B48</f>
        <v>176</v>
      </c>
      <c r="C49" t="s">
        <v>388</v>
      </c>
    </row>
    <row r="50" spans="2:3" x14ac:dyDescent="0.25">
      <c r="B50" s="2" t="s">
        <v>274</v>
      </c>
    </row>
    <row r="51" spans="2:3" x14ac:dyDescent="0.25">
      <c r="B51" s="10" t="s">
        <v>199</v>
      </c>
    </row>
    <row r="52" spans="2:3" x14ac:dyDescent="0.25">
      <c r="B52" t="s">
        <v>200</v>
      </c>
    </row>
    <row r="53" spans="2:3" x14ac:dyDescent="0.25">
      <c r="B53" t="s">
        <v>201</v>
      </c>
    </row>
    <row r="54" spans="2:3" x14ac:dyDescent="0.25">
      <c r="B54" t="s">
        <v>202</v>
      </c>
    </row>
    <row r="55" spans="2:3" x14ac:dyDescent="0.25">
      <c r="B55" t="s">
        <v>203</v>
      </c>
    </row>
    <row r="56" spans="2:3" x14ac:dyDescent="0.25">
      <c r="B56" t="s">
        <v>204</v>
      </c>
    </row>
    <row r="57" spans="2:3" x14ac:dyDescent="0.25">
      <c r="B57" t="s">
        <v>205</v>
      </c>
    </row>
    <row r="58" spans="2:3" x14ac:dyDescent="0.25">
      <c r="B58" t="s">
        <v>206</v>
      </c>
    </row>
    <row r="59" spans="2:3" x14ac:dyDescent="0.25">
      <c r="B59" t="s">
        <v>207</v>
      </c>
    </row>
    <row r="60" spans="2:3" x14ac:dyDescent="0.25">
      <c r="B60" t="s">
        <v>208</v>
      </c>
    </row>
    <row r="61" spans="2:3" x14ac:dyDescent="0.25">
      <c r="B61" t="s">
        <v>209</v>
      </c>
    </row>
    <row r="62" spans="2:3" x14ac:dyDescent="0.25">
      <c r="B62" t="s">
        <v>210</v>
      </c>
    </row>
    <row r="63" spans="2:3" x14ac:dyDescent="0.25">
      <c r="B63" t="s">
        <v>211</v>
      </c>
    </row>
    <row r="64" spans="2:3" x14ac:dyDescent="0.25">
      <c r="B64" t="s">
        <v>212</v>
      </c>
    </row>
    <row r="65" spans="2:2" x14ac:dyDescent="0.25">
      <c r="B65" t="s">
        <v>213</v>
      </c>
    </row>
    <row r="66" spans="2:2" x14ac:dyDescent="0.25">
      <c r="B66" t="s">
        <v>214</v>
      </c>
    </row>
    <row r="67" spans="2:2" x14ac:dyDescent="0.25">
      <c r="B67" t="s">
        <v>215</v>
      </c>
    </row>
    <row r="68" spans="2:2" x14ac:dyDescent="0.25">
      <c r="B68" t="s">
        <v>216</v>
      </c>
    </row>
    <row r="69" spans="2:2" x14ac:dyDescent="0.25">
      <c r="B69" t="s">
        <v>217</v>
      </c>
    </row>
    <row r="70" spans="2:2" x14ac:dyDescent="0.25">
      <c r="B70" t="s">
        <v>218</v>
      </c>
    </row>
    <row r="71" spans="2:2" x14ac:dyDescent="0.25">
      <c r="B71" t="s">
        <v>219</v>
      </c>
    </row>
    <row r="72" spans="2:2" x14ac:dyDescent="0.25">
      <c r="B72" t="s">
        <v>220</v>
      </c>
    </row>
    <row r="73" spans="2:2" x14ac:dyDescent="0.25">
      <c r="B73" t="s">
        <v>221</v>
      </c>
    </row>
    <row r="74" spans="2:2" x14ac:dyDescent="0.25">
      <c r="B74" t="s">
        <v>222</v>
      </c>
    </row>
    <row r="75" spans="2:2" x14ac:dyDescent="0.25">
      <c r="B75" t="s">
        <v>223</v>
      </c>
    </row>
    <row r="76" spans="2:2" x14ac:dyDescent="0.25">
      <c r="B76" t="s">
        <v>224</v>
      </c>
    </row>
    <row r="77" spans="2:2" x14ac:dyDescent="0.25">
      <c r="B77" s="76">
        <f>ROWS(B51:B76)</f>
        <v>26</v>
      </c>
    </row>
    <row r="79" spans="2:2" x14ac:dyDescent="0.25">
      <c r="B79" s="2" t="s">
        <v>273</v>
      </c>
    </row>
    <row r="80" spans="2:2" x14ac:dyDescent="0.25">
      <c r="B80" t="s">
        <v>225</v>
      </c>
    </row>
    <row r="81" spans="2:2" x14ac:dyDescent="0.25">
      <c r="B81" t="s">
        <v>226</v>
      </c>
    </row>
    <row r="82" spans="2:2" x14ac:dyDescent="0.25">
      <c r="B82" t="s">
        <v>227</v>
      </c>
    </row>
    <row r="83" spans="2:2" x14ac:dyDescent="0.25">
      <c r="B83" t="s">
        <v>228</v>
      </c>
    </row>
    <row r="84" spans="2:2" x14ac:dyDescent="0.25">
      <c r="B84" t="s">
        <v>229</v>
      </c>
    </row>
    <row r="85" spans="2:2" x14ac:dyDescent="0.25">
      <c r="B85" t="s">
        <v>230</v>
      </c>
    </row>
    <row r="86" spans="2:2" x14ac:dyDescent="0.25">
      <c r="B86" t="s">
        <v>231</v>
      </c>
    </row>
    <row r="87" spans="2:2" x14ac:dyDescent="0.25">
      <c r="B87" t="s">
        <v>232</v>
      </c>
    </row>
    <row r="88" spans="2:2" x14ac:dyDescent="0.25">
      <c r="B88" t="s">
        <v>233</v>
      </c>
    </row>
    <row r="89" spans="2:2" x14ac:dyDescent="0.25">
      <c r="B89" t="s">
        <v>234</v>
      </c>
    </row>
    <row r="90" spans="2:2" x14ac:dyDescent="0.25">
      <c r="B90" t="s">
        <v>235</v>
      </c>
    </row>
    <row r="91" spans="2:2" x14ac:dyDescent="0.25">
      <c r="B91" t="s">
        <v>236</v>
      </c>
    </row>
    <row r="92" spans="2:2" x14ac:dyDescent="0.25">
      <c r="B92" t="s">
        <v>237</v>
      </c>
    </row>
    <row r="93" spans="2:2" x14ac:dyDescent="0.25">
      <c r="B93" t="s">
        <v>238</v>
      </c>
    </row>
    <row r="94" spans="2:2" x14ac:dyDescent="0.25">
      <c r="B94" t="s">
        <v>239</v>
      </c>
    </row>
    <row r="95" spans="2:2" x14ac:dyDescent="0.25">
      <c r="B95" t="s">
        <v>240</v>
      </c>
    </row>
    <row r="96" spans="2:2" x14ac:dyDescent="0.25">
      <c r="B96" t="s">
        <v>241</v>
      </c>
    </row>
    <row r="97" spans="2:2" x14ac:dyDescent="0.25">
      <c r="B97" t="s">
        <v>242</v>
      </c>
    </row>
    <row r="98" spans="2:2" x14ac:dyDescent="0.25">
      <c r="B98" t="s">
        <v>243</v>
      </c>
    </row>
    <row r="99" spans="2:2" x14ac:dyDescent="0.25">
      <c r="B99" t="s">
        <v>244</v>
      </c>
    </row>
    <row r="100" spans="2:2" x14ac:dyDescent="0.25">
      <c r="B100" t="s">
        <v>245</v>
      </c>
    </row>
    <row r="101" spans="2:2" x14ac:dyDescent="0.25">
      <c r="B101" t="s">
        <v>246</v>
      </c>
    </row>
    <row r="102" spans="2:2" x14ac:dyDescent="0.25">
      <c r="B102" t="s">
        <v>247</v>
      </c>
    </row>
    <row r="103" spans="2:2" x14ac:dyDescent="0.25">
      <c r="B103" t="s">
        <v>248</v>
      </c>
    </row>
    <row r="104" spans="2:2" x14ac:dyDescent="0.25">
      <c r="B104" t="s">
        <v>249</v>
      </c>
    </row>
    <row r="105" spans="2:2" x14ac:dyDescent="0.25">
      <c r="B105" t="s">
        <v>250</v>
      </c>
    </row>
    <row r="106" spans="2:2" x14ac:dyDescent="0.25">
      <c r="B106" t="s">
        <v>251</v>
      </c>
    </row>
    <row r="107" spans="2:2" x14ac:dyDescent="0.25">
      <c r="B107" t="s">
        <v>252</v>
      </c>
    </row>
    <row r="108" spans="2:2" x14ac:dyDescent="0.25">
      <c r="B108" t="s">
        <v>253</v>
      </c>
    </row>
    <row r="109" spans="2:2" x14ac:dyDescent="0.25">
      <c r="B109" t="s">
        <v>254</v>
      </c>
    </row>
    <row r="110" spans="2:2" x14ac:dyDescent="0.25">
      <c r="B110" t="s">
        <v>255</v>
      </c>
    </row>
    <row r="111" spans="2:2" x14ac:dyDescent="0.25">
      <c r="B111" t="s">
        <v>256</v>
      </c>
    </row>
    <row r="112" spans="2:2" x14ac:dyDescent="0.25">
      <c r="B112" t="s">
        <v>257</v>
      </c>
    </row>
    <row r="113" spans="2:2" x14ac:dyDescent="0.25">
      <c r="B113" t="s">
        <v>258</v>
      </c>
    </row>
    <row r="114" spans="2:2" x14ac:dyDescent="0.25">
      <c r="B114" t="s">
        <v>259</v>
      </c>
    </row>
    <row r="115" spans="2:2" x14ac:dyDescent="0.25">
      <c r="B115" t="s">
        <v>260</v>
      </c>
    </row>
    <row r="116" spans="2:2" x14ac:dyDescent="0.25">
      <c r="B116" t="s">
        <v>261</v>
      </c>
    </row>
    <row r="117" spans="2:2" x14ac:dyDescent="0.25">
      <c r="B117" t="s">
        <v>262</v>
      </c>
    </row>
    <row r="118" spans="2:2" x14ac:dyDescent="0.25">
      <c r="B118" t="s">
        <v>263</v>
      </c>
    </row>
    <row r="119" spans="2:2" x14ac:dyDescent="0.25">
      <c r="B119" t="s">
        <v>264</v>
      </c>
    </row>
    <row r="120" spans="2:2" x14ac:dyDescent="0.25">
      <c r="B120" t="s">
        <v>265</v>
      </c>
    </row>
    <row r="121" spans="2:2" x14ac:dyDescent="0.25">
      <c r="B121" t="s">
        <v>266</v>
      </c>
    </row>
    <row r="122" spans="2:2" x14ac:dyDescent="0.25">
      <c r="B122" t="s">
        <v>267</v>
      </c>
    </row>
    <row r="123" spans="2:2" x14ac:dyDescent="0.25">
      <c r="B123" t="s">
        <v>268</v>
      </c>
    </row>
    <row r="124" spans="2:2" x14ac:dyDescent="0.25">
      <c r="B124" t="s">
        <v>269</v>
      </c>
    </row>
    <row r="125" spans="2:2" x14ac:dyDescent="0.25">
      <c r="B125" t="s">
        <v>270</v>
      </c>
    </row>
    <row r="126" spans="2:2" x14ac:dyDescent="0.25">
      <c r="B126" t="s">
        <v>271</v>
      </c>
    </row>
    <row r="127" spans="2:2" x14ac:dyDescent="0.25">
      <c r="B127" t="s">
        <v>272</v>
      </c>
    </row>
    <row r="128" spans="2:2" x14ac:dyDescent="0.25">
      <c r="B128" s="76">
        <f>ROWS(B80:B127)</f>
        <v>48</v>
      </c>
    </row>
    <row r="130" spans="2:2" x14ac:dyDescent="0.25">
      <c r="B130" s="2" t="s">
        <v>275</v>
      </c>
    </row>
    <row r="131" spans="2:2" x14ac:dyDescent="0.25">
      <c r="B131" t="s">
        <v>276</v>
      </c>
    </row>
    <row r="132" spans="2:2" x14ac:dyDescent="0.25">
      <c r="B132" t="s">
        <v>277</v>
      </c>
    </row>
    <row r="133" spans="2:2" x14ac:dyDescent="0.25">
      <c r="B133" t="s">
        <v>278</v>
      </c>
    </row>
    <row r="134" spans="2:2" x14ac:dyDescent="0.25">
      <c r="B134" t="s">
        <v>279</v>
      </c>
    </row>
    <row r="135" spans="2:2" x14ac:dyDescent="0.25">
      <c r="B135" t="s">
        <v>280</v>
      </c>
    </row>
    <row r="136" spans="2:2" x14ac:dyDescent="0.25">
      <c r="B136" t="s">
        <v>281</v>
      </c>
    </row>
    <row r="137" spans="2:2" x14ac:dyDescent="0.25">
      <c r="B137" t="s">
        <v>282</v>
      </c>
    </row>
    <row r="138" spans="2:2" x14ac:dyDescent="0.25">
      <c r="B138" t="s">
        <v>283</v>
      </c>
    </row>
    <row r="139" spans="2:2" x14ac:dyDescent="0.25">
      <c r="B139" t="s">
        <v>284</v>
      </c>
    </row>
    <row r="140" spans="2:2" x14ac:dyDescent="0.25">
      <c r="B140" t="s">
        <v>285</v>
      </c>
    </row>
    <row r="141" spans="2:2" x14ac:dyDescent="0.25">
      <c r="B141" t="s">
        <v>286</v>
      </c>
    </row>
    <row r="142" spans="2:2" x14ac:dyDescent="0.25">
      <c r="B142" t="s">
        <v>287</v>
      </c>
    </row>
    <row r="143" spans="2:2" x14ac:dyDescent="0.25">
      <c r="B143" t="s">
        <v>288</v>
      </c>
    </row>
    <row r="144" spans="2:2" x14ac:dyDescent="0.25">
      <c r="B144" t="s">
        <v>289</v>
      </c>
    </row>
    <row r="145" spans="2:2" x14ac:dyDescent="0.25">
      <c r="B145" t="s">
        <v>290</v>
      </c>
    </row>
    <row r="146" spans="2:2" x14ac:dyDescent="0.25">
      <c r="B146" t="s">
        <v>291</v>
      </c>
    </row>
    <row r="147" spans="2:2" x14ac:dyDescent="0.25">
      <c r="B147" t="s">
        <v>292</v>
      </c>
    </row>
    <row r="148" spans="2:2" x14ac:dyDescent="0.25">
      <c r="B148" t="s">
        <v>293</v>
      </c>
    </row>
    <row r="149" spans="2:2" x14ac:dyDescent="0.25">
      <c r="B149" t="s">
        <v>294</v>
      </c>
    </row>
    <row r="150" spans="2:2" x14ac:dyDescent="0.25">
      <c r="B150" t="s">
        <v>295</v>
      </c>
    </row>
    <row r="151" spans="2:2" x14ac:dyDescent="0.25">
      <c r="B151" t="s">
        <v>296</v>
      </c>
    </row>
    <row r="152" spans="2:2" x14ac:dyDescent="0.25">
      <c r="B152" t="s">
        <v>297</v>
      </c>
    </row>
    <row r="153" spans="2:2" x14ac:dyDescent="0.25">
      <c r="B153" t="s">
        <v>298</v>
      </c>
    </row>
    <row r="154" spans="2:2" x14ac:dyDescent="0.25">
      <c r="B154" t="s">
        <v>299</v>
      </c>
    </row>
    <row r="155" spans="2:2" x14ac:dyDescent="0.25">
      <c r="B155" t="s">
        <v>300</v>
      </c>
    </row>
    <row r="156" spans="2:2" x14ac:dyDescent="0.25">
      <c r="B156" s="76">
        <f>ROWS(B131:B155)</f>
        <v>25</v>
      </c>
    </row>
    <row r="158" spans="2:2" x14ac:dyDescent="0.25">
      <c r="B158" t="s">
        <v>301</v>
      </c>
    </row>
    <row r="159" spans="2:2" x14ac:dyDescent="0.25">
      <c r="B159" t="s">
        <v>302</v>
      </c>
    </row>
    <row r="160" spans="2:2" x14ac:dyDescent="0.25">
      <c r="B160" t="s">
        <v>303</v>
      </c>
    </row>
    <row r="161" spans="2:2" x14ac:dyDescent="0.25">
      <c r="B161" t="s">
        <v>304</v>
      </c>
    </row>
    <row r="162" spans="2:2" x14ac:dyDescent="0.25">
      <c r="B162" t="s">
        <v>305</v>
      </c>
    </row>
    <row r="163" spans="2:2" x14ac:dyDescent="0.25">
      <c r="B163" t="s">
        <v>306</v>
      </c>
    </row>
    <row r="164" spans="2:2" x14ac:dyDescent="0.25">
      <c r="B164" t="s">
        <v>307</v>
      </c>
    </row>
    <row r="165" spans="2:2" x14ac:dyDescent="0.25">
      <c r="B165" t="s">
        <v>308</v>
      </c>
    </row>
    <row r="166" spans="2:2" x14ac:dyDescent="0.25">
      <c r="B166" t="s">
        <v>309</v>
      </c>
    </row>
    <row r="167" spans="2:2" x14ac:dyDescent="0.25">
      <c r="B167" t="s">
        <v>310</v>
      </c>
    </row>
    <row r="168" spans="2:2" x14ac:dyDescent="0.25">
      <c r="B168" t="s">
        <v>295</v>
      </c>
    </row>
    <row r="169" spans="2:2" x14ac:dyDescent="0.25">
      <c r="B169" t="s">
        <v>283</v>
      </c>
    </row>
    <row r="170" spans="2:2" x14ac:dyDescent="0.25">
      <c r="B170" t="s">
        <v>289</v>
      </c>
    </row>
    <row r="171" spans="2:2" x14ac:dyDescent="0.25">
      <c r="B171" t="s">
        <v>292</v>
      </c>
    </row>
    <row r="172" spans="2:2" x14ac:dyDescent="0.25">
      <c r="B172" s="76">
        <f>ROWS(B158:B171)</f>
        <v>14</v>
      </c>
    </row>
    <row r="174" spans="2:2" x14ac:dyDescent="0.25">
      <c r="B174" s="2" t="s">
        <v>351</v>
      </c>
    </row>
    <row r="175" spans="2:2" x14ac:dyDescent="0.25">
      <c r="B175" t="s">
        <v>311</v>
      </c>
    </row>
    <row r="176" spans="2:2" x14ac:dyDescent="0.25">
      <c r="B176" t="s">
        <v>312</v>
      </c>
    </row>
    <row r="177" spans="2:2" x14ac:dyDescent="0.25">
      <c r="B177" t="s">
        <v>313</v>
      </c>
    </row>
    <row r="178" spans="2:2" x14ac:dyDescent="0.25">
      <c r="B178" t="s">
        <v>314</v>
      </c>
    </row>
    <row r="179" spans="2:2" x14ac:dyDescent="0.25">
      <c r="B179" t="s">
        <v>315</v>
      </c>
    </row>
    <row r="180" spans="2:2" x14ac:dyDescent="0.25">
      <c r="B180" t="s">
        <v>316</v>
      </c>
    </row>
    <row r="181" spans="2:2" x14ac:dyDescent="0.25">
      <c r="B181" t="s">
        <v>317</v>
      </c>
    </row>
    <row r="182" spans="2:2" x14ac:dyDescent="0.25">
      <c r="B182" t="s">
        <v>318</v>
      </c>
    </row>
    <row r="183" spans="2:2" x14ac:dyDescent="0.25">
      <c r="B183" t="s">
        <v>319</v>
      </c>
    </row>
    <row r="184" spans="2:2" x14ac:dyDescent="0.25">
      <c r="B184" t="s">
        <v>320</v>
      </c>
    </row>
    <row r="185" spans="2:2" x14ac:dyDescent="0.25">
      <c r="B185" t="s">
        <v>321</v>
      </c>
    </row>
    <row r="186" spans="2:2" x14ac:dyDescent="0.25">
      <c r="B186" t="s">
        <v>322</v>
      </c>
    </row>
    <row r="187" spans="2:2" x14ac:dyDescent="0.25">
      <c r="B187" t="s">
        <v>323</v>
      </c>
    </row>
    <row r="188" spans="2:2" x14ac:dyDescent="0.25">
      <c r="B188" t="s">
        <v>324</v>
      </c>
    </row>
    <row r="189" spans="2:2" x14ac:dyDescent="0.25">
      <c r="B189" t="s">
        <v>325</v>
      </c>
    </row>
    <row r="190" spans="2:2" x14ac:dyDescent="0.25">
      <c r="B190" t="s">
        <v>326</v>
      </c>
    </row>
    <row r="191" spans="2:2" x14ac:dyDescent="0.25">
      <c r="B191" t="s">
        <v>327</v>
      </c>
    </row>
    <row r="192" spans="2:2" x14ac:dyDescent="0.25">
      <c r="B192" t="s">
        <v>328</v>
      </c>
    </row>
    <row r="193" spans="2:2" x14ac:dyDescent="0.25">
      <c r="B193" t="s">
        <v>329</v>
      </c>
    </row>
    <row r="194" spans="2:2" x14ac:dyDescent="0.25">
      <c r="B194" t="s">
        <v>330</v>
      </c>
    </row>
    <row r="195" spans="2:2" x14ac:dyDescent="0.25">
      <c r="B195" t="s">
        <v>331</v>
      </c>
    </row>
    <row r="196" spans="2:2" x14ac:dyDescent="0.25">
      <c r="B196" t="s">
        <v>332</v>
      </c>
    </row>
    <row r="197" spans="2:2" x14ac:dyDescent="0.25">
      <c r="B197" t="s">
        <v>333</v>
      </c>
    </row>
    <row r="198" spans="2:2" x14ac:dyDescent="0.25">
      <c r="B198" t="s">
        <v>334</v>
      </c>
    </row>
    <row r="199" spans="2:2" x14ac:dyDescent="0.25">
      <c r="B199" t="s">
        <v>335</v>
      </c>
    </row>
    <row r="200" spans="2:2" x14ac:dyDescent="0.25">
      <c r="B200" t="s">
        <v>336</v>
      </c>
    </row>
    <row r="201" spans="2:2" x14ac:dyDescent="0.25">
      <c r="B201" t="s">
        <v>337</v>
      </c>
    </row>
    <row r="202" spans="2:2" x14ac:dyDescent="0.25">
      <c r="B202" t="s">
        <v>338</v>
      </c>
    </row>
    <row r="203" spans="2:2" x14ac:dyDescent="0.25">
      <c r="B203" t="s">
        <v>339</v>
      </c>
    </row>
    <row r="204" spans="2:2" x14ac:dyDescent="0.25">
      <c r="B204" t="s">
        <v>340</v>
      </c>
    </row>
    <row r="205" spans="2:2" x14ac:dyDescent="0.25">
      <c r="B205" t="s">
        <v>341</v>
      </c>
    </row>
    <row r="206" spans="2:2" x14ac:dyDescent="0.25">
      <c r="B206" t="s">
        <v>342</v>
      </c>
    </row>
    <row r="207" spans="2:2" x14ac:dyDescent="0.25">
      <c r="B207" t="s">
        <v>343</v>
      </c>
    </row>
    <row r="208" spans="2:2" x14ac:dyDescent="0.25">
      <c r="B208" t="s">
        <v>344</v>
      </c>
    </row>
    <row r="209" spans="2:2" x14ac:dyDescent="0.25">
      <c r="B209" t="s">
        <v>345</v>
      </c>
    </row>
    <row r="210" spans="2:2" x14ac:dyDescent="0.25">
      <c r="B210" t="s">
        <v>346</v>
      </c>
    </row>
    <row r="211" spans="2:2" x14ac:dyDescent="0.25">
      <c r="B211" t="s">
        <v>347</v>
      </c>
    </row>
    <row r="212" spans="2:2" x14ac:dyDescent="0.25">
      <c r="B212" t="s">
        <v>348</v>
      </c>
    </row>
    <row r="213" spans="2:2" x14ac:dyDescent="0.25">
      <c r="B213" t="s">
        <v>349</v>
      </c>
    </row>
    <row r="214" spans="2:2" x14ac:dyDescent="0.25">
      <c r="B214" t="s">
        <v>350</v>
      </c>
    </row>
    <row r="215" spans="2:2" x14ac:dyDescent="0.25">
      <c r="B215" s="76">
        <f>ROWS(B175:B214)</f>
        <v>40</v>
      </c>
    </row>
    <row r="217" spans="2:2" x14ac:dyDescent="0.25">
      <c r="B217" s="2" t="s">
        <v>352</v>
      </c>
    </row>
    <row r="218" spans="2:2" x14ac:dyDescent="0.25">
      <c r="B218" t="s">
        <v>353</v>
      </c>
    </row>
    <row r="219" spans="2:2" x14ac:dyDescent="0.25">
      <c r="B219" s="76">
        <f>ROWS(B218)</f>
        <v>1</v>
      </c>
    </row>
    <row r="221" spans="2:2" x14ac:dyDescent="0.25">
      <c r="B221" s="2" t="s">
        <v>354</v>
      </c>
    </row>
    <row r="222" spans="2:2" x14ac:dyDescent="0.25">
      <c r="B222" t="s">
        <v>355</v>
      </c>
    </row>
    <row r="223" spans="2:2" x14ac:dyDescent="0.25">
      <c r="B223" t="s">
        <v>356</v>
      </c>
    </row>
    <row r="224" spans="2:2" x14ac:dyDescent="0.25">
      <c r="B224" t="s">
        <v>357</v>
      </c>
    </row>
    <row r="225" spans="2:2" x14ac:dyDescent="0.25">
      <c r="B225" t="s">
        <v>358</v>
      </c>
    </row>
    <row r="226" spans="2:2" x14ac:dyDescent="0.25">
      <c r="B226" t="s">
        <v>359</v>
      </c>
    </row>
    <row r="227" spans="2:2" x14ac:dyDescent="0.25">
      <c r="B227" t="s">
        <v>360</v>
      </c>
    </row>
    <row r="228" spans="2:2" x14ac:dyDescent="0.25">
      <c r="B228" t="s">
        <v>361</v>
      </c>
    </row>
    <row r="229" spans="2:2" x14ac:dyDescent="0.25">
      <c r="B229" t="s">
        <v>362</v>
      </c>
    </row>
    <row r="230" spans="2:2" x14ac:dyDescent="0.25">
      <c r="B230" t="s">
        <v>363</v>
      </c>
    </row>
    <row r="231" spans="2:2" x14ac:dyDescent="0.25">
      <c r="B231" t="s">
        <v>364</v>
      </c>
    </row>
    <row r="232" spans="2:2" x14ac:dyDescent="0.25">
      <c r="B232" t="s">
        <v>366</v>
      </c>
    </row>
    <row r="233" spans="2:2" x14ac:dyDescent="0.25">
      <c r="B233" t="s">
        <v>365</v>
      </c>
    </row>
    <row r="234" spans="2:2" x14ac:dyDescent="0.25">
      <c r="B234" t="s">
        <v>367</v>
      </c>
    </row>
    <row r="235" spans="2:2" x14ac:dyDescent="0.25">
      <c r="B235" t="s">
        <v>368</v>
      </c>
    </row>
    <row r="236" spans="2:2" x14ac:dyDescent="0.25">
      <c r="B236" t="s">
        <v>369</v>
      </c>
    </row>
    <row r="237" spans="2:2" x14ac:dyDescent="0.25">
      <c r="B237" t="s">
        <v>370</v>
      </c>
    </row>
    <row r="238" spans="2:2" x14ac:dyDescent="0.25">
      <c r="B238" t="s">
        <v>371</v>
      </c>
    </row>
    <row r="239" spans="2:2" x14ac:dyDescent="0.25">
      <c r="B239" t="s">
        <v>372</v>
      </c>
    </row>
    <row r="240" spans="2:2" x14ac:dyDescent="0.25">
      <c r="B240" t="s">
        <v>373</v>
      </c>
    </row>
    <row r="241" spans="2:2" x14ac:dyDescent="0.25">
      <c r="B241" t="s">
        <v>374</v>
      </c>
    </row>
    <row r="242" spans="2:2" x14ac:dyDescent="0.25">
      <c r="B242" t="s">
        <v>375</v>
      </c>
    </row>
    <row r="243" spans="2:2" x14ac:dyDescent="0.25">
      <c r="B243" t="s">
        <v>376</v>
      </c>
    </row>
    <row r="244" spans="2:2" x14ac:dyDescent="0.25">
      <c r="B244" t="s">
        <v>377</v>
      </c>
    </row>
    <row r="245" spans="2:2" x14ac:dyDescent="0.25">
      <c r="B245" t="s">
        <v>378</v>
      </c>
    </row>
    <row r="246" spans="2:2" x14ac:dyDescent="0.25">
      <c r="B246" t="s">
        <v>379</v>
      </c>
    </row>
    <row r="247" spans="2:2" x14ac:dyDescent="0.25">
      <c r="B247" t="s">
        <v>380</v>
      </c>
    </row>
    <row r="248" spans="2:2" x14ac:dyDescent="0.25">
      <c r="B248" t="s">
        <v>381</v>
      </c>
    </row>
    <row r="249" spans="2:2" x14ac:dyDescent="0.25">
      <c r="B249" t="s">
        <v>382</v>
      </c>
    </row>
    <row r="250" spans="2:2" x14ac:dyDescent="0.25">
      <c r="B250" t="s">
        <v>383</v>
      </c>
    </row>
    <row r="251" spans="2:2" x14ac:dyDescent="0.25">
      <c r="B251" t="s">
        <v>384</v>
      </c>
    </row>
    <row r="252" spans="2:2" x14ac:dyDescent="0.25">
      <c r="B252" t="s">
        <v>385</v>
      </c>
    </row>
    <row r="253" spans="2:2" x14ac:dyDescent="0.25">
      <c r="B253" s="76">
        <f>ROWS(B222:B252)</f>
        <v>31</v>
      </c>
    </row>
  </sheetData>
  <pageMargins left="0.7" right="0.7" top="0.75" bottom="0.75" header="0.3" footer="0.3"/>
  <ignoredErrors>
    <ignoredError sqref="C4:C5 C6:C8"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7682-D6AA-40B7-9B85-AF9BAB5542A3}">
  <dimension ref="A1:V47"/>
  <sheetViews>
    <sheetView showGridLines="0" zoomScaleNormal="100" workbookViewId="0">
      <selection activeCell="B1" sqref="B1"/>
    </sheetView>
  </sheetViews>
  <sheetFormatPr baseColWidth="10" defaultColWidth="9.140625" defaultRowHeight="15" x14ac:dyDescent="0.25"/>
  <cols>
    <col min="1" max="1" width="9.7109375" customWidth="1"/>
    <col min="2" max="2" width="83.42578125" customWidth="1"/>
    <col min="3" max="3" width="10.140625" bestFit="1" customWidth="1"/>
    <col min="4" max="4" width="88.42578125" customWidth="1"/>
    <col min="5" max="5" width="10.140625" bestFit="1" customWidth="1"/>
    <col min="6" max="6" width="19.140625" customWidth="1"/>
    <col min="7" max="7" width="12.140625" customWidth="1"/>
    <col min="8" max="8" width="10.28515625" bestFit="1" customWidth="1"/>
    <col min="9" max="10" width="10.28515625" customWidth="1"/>
    <col min="14" max="14" width="45.5703125" customWidth="1"/>
    <col min="15" max="15" width="13.5703125" bestFit="1" customWidth="1"/>
  </cols>
  <sheetData>
    <row r="1" spans="1:22" x14ac:dyDescent="0.25">
      <c r="A1" s="2" t="s">
        <v>73</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33" t="s">
        <v>33</v>
      </c>
      <c r="G3" s="2">
        <v>2027</v>
      </c>
      <c r="H3" s="2">
        <v>2028</v>
      </c>
      <c r="I3" s="2">
        <v>2029</v>
      </c>
      <c r="J3" s="34">
        <v>2030</v>
      </c>
    </row>
    <row r="4" spans="1:22" ht="14.65" customHeight="1" x14ac:dyDescent="0.25">
      <c r="A4" t="s">
        <v>5</v>
      </c>
      <c r="B4" t="s">
        <v>88</v>
      </c>
      <c r="C4" s="4" t="s">
        <v>6</v>
      </c>
      <c r="D4" t="s">
        <v>123</v>
      </c>
      <c r="E4" s="35"/>
      <c r="F4" s="36">
        <f>NPV('Tallgrunnlag inputdata'!$B$6,G4:J4)</f>
        <v>468178.23529411765</v>
      </c>
      <c r="G4" s="37">
        <f>'Tallgrunnlag inputdata'!B250</f>
        <v>486905.36470588238</v>
      </c>
      <c r="H4" s="37">
        <v>0</v>
      </c>
      <c r="I4" s="37">
        <v>0</v>
      </c>
      <c r="J4" s="38">
        <v>0</v>
      </c>
    </row>
    <row r="5" spans="1:22" ht="14.65" customHeight="1" x14ac:dyDescent="0.25">
      <c r="A5" s="7" t="s">
        <v>5</v>
      </c>
      <c r="B5" s="7" t="s">
        <v>88</v>
      </c>
      <c r="C5" s="9" t="s">
        <v>14</v>
      </c>
      <c r="D5" s="7" t="s">
        <v>1033</v>
      </c>
      <c r="E5" s="9"/>
      <c r="F5" s="26">
        <f>NPV('Tallgrunnlag inputdata'!$B$6,G5:J5)</f>
        <v>17723691.627034858</v>
      </c>
      <c r="G5" s="27">
        <f>'Tallgrunnlag inputdata'!B251</f>
        <v>14428577.647058824</v>
      </c>
      <c r="H5" s="27">
        <f>'Tallgrunnlag inputdata'!$B$252</f>
        <v>1442857.7647058824</v>
      </c>
      <c r="I5" s="27">
        <f>'Tallgrunnlag inputdata'!$B$252</f>
        <v>1442857.7647058824</v>
      </c>
      <c r="J5" s="28">
        <f>'Tallgrunnlag inputdata'!$B$252</f>
        <v>1442857.7647058824</v>
      </c>
    </row>
    <row r="6" spans="1:22" x14ac:dyDescent="0.25">
      <c r="A6" t="s">
        <v>9</v>
      </c>
      <c r="B6" s="5" t="s">
        <v>84</v>
      </c>
      <c r="C6" s="4" t="s">
        <v>17</v>
      </c>
      <c r="D6" t="s">
        <v>91</v>
      </c>
      <c r="E6" s="4"/>
      <c r="F6" s="13">
        <f>NPV('Tallgrunnlag inputdata'!$B$6,G6:J6)</f>
        <v>28111986.357995272</v>
      </c>
      <c r="G6" s="40">
        <f>'Tallgrunnlag inputdata'!$B$259</f>
        <v>7744572.3970588231</v>
      </c>
      <c r="H6" s="40">
        <f>'Tallgrunnlag inputdata'!$B$259</f>
        <v>7744572.3970588231</v>
      </c>
      <c r="I6" s="40">
        <f>'Tallgrunnlag inputdata'!$B$259</f>
        <v>7744572.3970588231</v>
      </c>
      <c r="J6" s="24">
        <f>'Tallgrunnlag inputdata'!$B$259</f>
        <v>7744572.3970588231</v>
      </c>
    </row>
    <row r="7" spans="1:22" x14ac:dyDescent="0.25">
      <c r="A7" s="7" t="s">
        <v>9</v>
      </c>
      <c r="B7" s="8" t="s">
        <v>84</v>
      </c>
      <c r="C7" s="25" t="s">
        <v>13</v>
      </c>
      <c r="D7" s="7" t="s">
        <v>133</v>
      </c>
      <c r="E7" s="9"/>
      <c r="F7" s="39">
        <f>NPV('Tallgrunnlag inputdata'!$B$6,G7:J7)</f>
        <v>11244794.543198111</v>
      </c>
      <c r="G7" s="27">
        <f>'Tallgrunnlag inputdata'!$B$266</f>
        <v>3097828.9588235295</v>
      </c>
      <c r="H7" s="27">
        <f>'Tallgrunnlag inputdata'!$B$266</f>
        <v>3097828.9588235295</v>
      </c>
      <c r="I7" s="27">
        <f>'Tallgrunnlag inputdata'!$B$266</f>
        <v>3097828.9588235295</v>
      </c>
      <c r="J7" s="28">
        <f>'Tallgrunnlag inputdata'!$B$266</f>
        <v>3097828.9588235295</v>
      </c>
    </row>
    <row r="8" spans="1:22" ht="15" customHeight="1" x14ac:dyDescent="0.25">
      <c r="A8" s="4" t="s">
        <v>11</v>
      </c>
      <c r="B8" s="5" t="s">
        <v>86</v>
      </c>
      <c r="C8" s="4" t="s">
        <v>23</v>
      </c>
      <c r="D8" t="s">
        <v>134</v>
      </c>
      <c r="E8" s="4"/>
      <c r="F8" s="55">
        <f>NPV('Tallgrunnlag inputdata'!$B$6,G8:J8)</f>
        <v>10271560.863435933</v>
      </c>
      <c r="G8" s="40">
        <f>'Tallgrunnlag inputdata'!$B$275</f>
        <v>2829712.7682352937</v>
      </c>
      <c r="H8" s="40">
        <f>'Tallgrunnlag inputdata'!$B$275</f>
        <v>2829712.7682352937</v>
      </c>
      <c r="I8" s="40">
        <f>'Tallgrunnlag inputdata'!$B$275</f>
        <v>2829712.7682352937</v>
      </c>
      <c r="J8" s="24">
        <f>'Tallgrunnlag inputdata'!$B$275</f>
        <v>2829712.7682352937</v>
      </c>
    </row>
    <row r="9" spans="1:22" x14ac:dyDescent="0.25">
      <c r="A9" s="53" t="s">
        <v>111</v>
      </c>
      <c r="B9" s="53" t="s">
        <v>967</v>
      </c>
      <c r="C9" s="53" t="s">
        <v>112</v>
      </c>
      <c r="D9" s="53" t="s">
        <v>967</v>
      </c>
      <c r="E9" s="53"/>
      <c r="F9" s="26">
        <f>NPV('Tallgrunnlag inputdata'!$B$6,H9:J9)</f>
        <v>4194542.2956154291</v>
      </c>
      <c r="G9" s="99">
        <f>SUM(G4:G8)*'Tallgrunnlag inputdata'!$B$9</f>
        <v>2858759.7135882354</v>
      </c>
      <c r="H9" s="99">
        <f>SUM(H4:H8)*'Tallgrunnlag inputdata'!$B$9</f>
        <v>1511497.188882353</v>
      </c>
      <c r="I9" s="99">
        <f>SUM(I4:I8)*'Tallgrunnlag inputdata'!$B$9</f>
        <v>1511497.188882353</v>
      </c>
      <c r="J9" s="101">
        <f>SUM(J4:J8)*'Tallgrunnlag inputdata'!$B$9</f>
        <v>1511497.188882353</v>
      </c>
    </row>
    <row r="11" spans="1:22" x14ac:dyDescent="0.25">
      <c r="E11" s="2" t="s">
        <v>31</v>
      </c>
      <c r="F11" s="29">
        <f>SUM(F4:F9)</f>
        <v>72014753.92257373</v>
      </c>
    </row>
    <row r="12" spans="1:22" x14ac:dyDescent="0.25">
      <c r="B12" s="2"/>
    </row>
    <row r="13" spans="1:22" x14ac:dyDescent="0.25">
      <c r="C13" s="20"/>
    </row>
    <row r="16" spans="1:22" x14ac:dyDescent="0.25">
      <c r="A16" s="10"/>
    </row>
    <row r="17" spans="1:15" x14ac:dyDescent="0.25">
      <c r="A17" s="22"/>
    </row>
    <row r="18" spans="1:15" x14ac:dyDescent="0.25">
      <c r="A18" s="22"/>
    </row>
    <row r="19" spans="1:15" x14ac:dyDescent="0.25">
      <c r="A19" s="22"/>
    </row>
    <row r="20" spans="1:15" x14ac:dyDescent="0.25">
      <c r="A20" s="41"/>
    </row>
    <row r="21" spans="1:15" x14ac:dyDescent="0.25">
      <c r="A21" s="22"/>
      <c r="O21" s="14"/>
    </row>
    <row r="22" spans="1:15" x14ac:dyDescent="0.25">
      <c r="A22" s="22"/>
      <c r="O22" s="14"/>
    </row>
    <row r="23" spans="1:15" x14ac:dyDescent="0.25">
      <c r="A23" s="22"/>
      <c r="O23" s="14"/>
    </row>
    <row r="24" spans="1:15" x14ac:dyDescent="0.25">
      <c r="A24" s="10"/>
      <c r="O24" s="14"/>
    </row>
    <row r="25" spans="1:15" x14ac:dyDescent="0.25">
      <c r="A25" s="22"/>
      <c r="O25" s="14"/>
    </row>
    <row r="26" spans="1:15" x14ac:dyDescent="0.25">
      <c r="A26" s="10"/>
    </row>
    <row r="27" spans="1:15" x14ac:dyDescent="0.25">
      <c r="A27" s="22"/>
    </row>
    <row r="28" spans="1:15" x14ac:dyDescent="0.25">
      <c r="A28" s="10"/>
    </row>
    <row r="29" spans="1:15" x14ac:dyDescent="0.25">
      <c r="A29" s="22"/>
    </row>
    <row r="30" spans="1:15" x14ac:dyDescent="0.25">
      <c r="A30" s="22"/>
    </row>
    <row r="31" spans="1:15" x14ac:dyDescent="0.25">
      <c r="A31" s="10"/>
    </row>
    <row r="32" spans="1:15" x14ac:dyDescent="0.25">
      <c r="A32" s="22"/>
    </row>
    <row r="33" spans="1:1" x14ac:dyDescent="0.25">
      <c r="A33" s="22"/>
    </row>
    <row r="34" spans="1:1" x14ac:dyDescent="0.25">
      <c r="A34" s="22"/>
    </row>
    <row r="35" spans="1:1" x14ac:dyDescent="0.25">
      <c r="A35" s="10"/>
    </row>
    <row r="36" spans="1:1" x14ac:dyDescent="0.25">
      <c r="A36" s="22"/>
    </row>
    <row r="37" spans="1:1" x14ac:dyDescent="0.25">
      <c r="A37" s="22"/>
    </row>
    <row r="38" spans="1:1" x14ac:dyDescent="0.25">
      <c r="A38" s="22"/>
    </row>
    <row r="39" spans="1:1" x14ac:dyDescent="0.25">
      <c r="A39" s="22"/>
    </row>
    <row r="40" spans="1:1" x14ac:dyDescent="0.25">
      <c r="A40" s="42"/>
    </row>
    <row r="41" spans="1:1" x14ac:dyDescent="0.25">
      <c r="A41" s="10"/>
    </row>
    <row r="42" spans="1:1" x14ac:dyDescent="0.25">
      <c r="A42" s="10"/>
    </row>
    <row r="44" spans="1:1" x14ac:dyDescent="0.25">
      <c r="A44" s="10"/>
    </row>
    <row r="47" spans="1:1" x14ac:dyDescent="0.25">
      <c r="A47" s="10"/>
    </row>
  </sheetData>
  <phoneticPr fontId="15" type="noConversion"/>
  <pageMargins left="0.7" right="0.7" top="0.75" bottom="0.75" header="0.3" footer="0.3"/>
  <ignoredErrors>
    <ignoredError sqref="C4"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4C36-CE7B-46F0-A141-96BAE2B8BE44}">
  <dimension ref="A1:V40"/>
  <sheetViews>
    <sheetView showGridLines="0" zoomScaleNormal="100" workbookViewId="0">
      <selection activeCell="B4" sqref="B4"/>
    </sheetView>
  </sheetViews>
  <sheetFormatPr baseColWidth="10" defaultColWidth="9.140625" defaultRowHeight="15" x14ac:dyDescent="0.25"/>
  <cols>
    <col min="1" max="1" width="9.7109375" customWidth="1"/>
    <col min="2" max="2" width="63" customWidth="1"/>
    <col min="3" max="3" width="10.140625" bestFit="1" customWidth="1"/>
    <col min="4" max="4" width="88.42578125" customWidth="1"/>
    <col min="5" max="5" width="10.140625" bestFit="1" customWidth="1"/>
    <col min="6" max="6" width="19.140625" customWidth="1"/>
    <col min="7" max="7" width="12.140625" customWidth="1"/>
    <col min="8" max="8" width="10.28515625" bestFit="1" customWidth="1"/>
    <col min="9" max="10" width="10.28515625" customWidth="1"/>
    <col min="14" max="14" width="12.42578125" bestFit="1" customWidth="1"/>
  </cols>
  <sheetData>
    <row r="1" spans="1:22" x14ac:dyDescent="0.25">
      <c r="A1" s="2" t="s">
        <v>957</v>
      </c>
      <c r="F1" s="15"/>
      <c r="G1">
        <v>0</v>
      </c>
      <c r="H1">
        <v>1</v>
      </c>
      <c r="I1">
        <v>2</v>
      </c>
      <c r="J1">
        <v>3</v>
      </c>
    </row>
    <row r="2" spans="1:22" x14ac:dyDescent="0.25">
      <c r="A2" s="3"/>
      <c r="B2" s="3"/>
      <c r="C2" s="3"/>
      <c r="D2" s="3"/>
      <c r="E2" s="3"/>
      <c r="F2" s="3"/>
      <c r="G2" s="3"/>
      <c r="H2" s="3"/>
      <c r="I2" s="3"/>
      <c r="J2" s="3"/>
      <c r="K2" s="3"/>
      <c r="L2" s="3"/>
      <c r="M2" s="3"/>
      <c r="N2" s="3"/>
      <c r="O2" s="3"/>
      <c r="P2" s="3"/>
      <c r="Q2" s="3"/>
      <c r="R2" s="3"/>
      <c r="S2" s="3"/>
      <c r="T2" s="3"/>
      <c r="U2" s="3"/>
      <c r="V2" s="3"/>
    </row>
    <row r="3" spans="1:22" x14ac:dyDescent="0.25">
      <c r="A3" s="17" t="s">
        <v>3</v>
      </c>
      <c r="B3" s="7"/>
      <c r="C3" s="17" t="s">
        <v>4</v>
      </c>
      <c r="D3" s="7"/>
      <c r="F3" s="33" t="s">
        <v>33</v>
      </c>
      <c r="G3" s="2">
        <v>2027</v>
      </c>
      <c r="H3" s="2">
        <v>2028</v>
      </c>
      <c r="I3" s="2">
        <v>2029</v>
      </c>
      <c r="J3" s="34">
        <v>2030</v>
      </c>
    </row>
    <row r="4" spans="1:22" x14ac:dyDescent="0.25">
      <c r="A4" s="53" t="s">
        <v>5</v>
      </c>
      <c r="B4" s="53" t="s">
        <v>479</v>
      </c>
      <c r="C4" s="71" t="s">
        <v>6</v>
      </c>
      <c r="D4" s="53" t="s">
        <v>479</v>
      </c>
      <c r="E4" s="54"/>
      <c r="F4" s="55">
        <f>NPV('Tallgrunnlag inputdata'!$B$6,G4:J4)</f>
        <v>3772189.3491124259</v>
      </c>
      <c r="G4" s="56">
        <f>'Tallgrunnlag inputdata'!B285</f>
        <v>2000000</v>
      </c>
      <c r="H4" s="56">
        <f>'Tallgrunnlag inputdata'!B286</f>
        <v>2000000</v>
      </c>
      <c r="I4" s="56"/>
      <c r="J4" s="57"/>
    </row>
    <row r="5" spans="1:22" x14ac:dyDescent="0.25">
      <c r="A5" s="53" t="s">
        <v>9</v>
      </c>
      <c r="B5" s="53" t="s">
        <v>967</v>
      </c>
      <c r="C5" s="53" t="s">
        <v>17</v>
      </c>
      <c r="D5" s="53" t="s">
        <v>967</v>
      </c>
      <c r="E5" s="53"/>
      <c r="F5" s="55">
        <f>NPV('Tallgrunnlag inputdata'!$B$6,G5:J5)</f>
        <v>377218.93491124257</v>
      </c>
      <c r="G5" s="99">
        <f>G4*'Tallgrunnlag inputdata'!$B$9</f>
        <v>200000</v>
      </c>
      <c r="H5" s="99">
        <f>H4*'Tallgrunnlag inputdata'!$B$9</f>
        <v>200000</v>
      </c>
      <c r="I5" s="53"/>
      <c r="J5" s="100"/>
    </row>
    <row r="7" spans="1:22" x14ac:dyDescent="0.25">
      <c r="B7" s="2"/>
      <c r="E7" s="2" t="s">
        <v>31</v>
      </c>
      <c r="F7" s="29">
        <f>SUM(F4:F5)</f>
        <v>4149408.2840236686</v>
      </c>
    </row>
    <row r="8" spans="1:22" x14ac:dyDescent="0.25">
      <c r="C8" s="20"/>
    </row>
    <row r="10" spans="1:22" x14ac:dyDescent="0.25">
      <c r="A10" s="117"/>
      <c r="B10" s="117"/>
      <c r="C10" s="117"/>
      <c r="D10" s="117"/>
      <c r="E10" s="117"/>
      <c r="F10" s="117"/>
      <c r="N10" s="14"/>
    </row>
    <row r="11" spans="1:22" x14ac:dyDescent="0.25">
      <c r="A11" s="118"/>
      <c r="B11" s="117"/>
      <c r="C11" s="117"/>
      <c r="D11" s="117"/>
      <c r="E11" s="117"/>
      <c r="F11" s="117"/>
      <c r="N11" s="14"/>
    </row>
    <row r="12" spans="1:22" x14ac:dyDescent="0.25">
      <c r="A12" s="119"/>
      <c r="B12" s="117"/>
      <c r="C12" s="117"/>
      <c r="D12" s="117"/>
      <c r="E12" s="117"/>
      <c r="F12" s="117"/>
      <c r="N12" s="14"/>
    </row>
    <row r="13" spans="1:22" x14ac:dyDescent="0.25">
      <c r="A13" s="119"/>
      <c r="B13" s="117"/>
      <c r="C13" s="117"/>
      <c r="D13" s="117"/>
      <c r="E13" s="117"/>
      <c r="F13" s="117"/>
      <c r="N13" s="14"/>
    </row>
    <row r="14" spans="1:22" x14ac:dyDescent="0.25">
      <c r="A14" s="119"/>
      <c r="B14" s="117"/>
      <c r="C14" s="117"/>
      <c r="D14" s="117"/>
      <c r="E14" s="117"/>
      <c r="F14" s="117"/>
    </row>
    <row r="15" spans="1:22" x14ac:dyDescent="0.25">
      <c r="A15" s="119"/>
      <c r="B15" s="117"/>
      <c r="C15" s="117"/>
      <c r="D15" s="117"/>
      <c r="E15" s="117"/>
      <c r="F15" s="117"/>
    </row>
    <row r="16" spans="1:22" x14ac:dyDescent="0.25">
      <c r="A16" s="118"/>
      <c r="B16" s="117"/>
      <c r="C16" s="117"/>
      <c r="D16" s="117"/>
      <c r="E16" s="117"/>
      <c r="F16" s="117"/>
    </row>
    <row r="17" spans="1:6" x14ac:dyDescent="0.25">
      <c r="A17" s="119"/>
      <c r="B17" s="117"/>
      <c r="C17" s="117"/>
      <c r="D17" s="117"/>
      <c r="E17" s="117"/>
      <c r="F17" s="117"/>
    </row>
    <row r="18" spans="1:6" x14ac:dyDescent="0.25">
      <c r="A18" s="119"/>
      <c r="B18" s="117"/>
      <c r="C18" s="117"/>
      <c r="D18" s="117"/>
      <c r="E18" s="117"/>
      <c r="F18" s="117"/>
    </row>
    <row r="19" spans="1:6" x14ac:dyDescent="0.25">
      <c r="A19" s="119"/>
      <c r="B19" s="117"/>
      <c r="C19" s="117"/>
      <c r="D19" s="117"/>
      <c r="E19" s="117"/>
      <c r="F19" s="117"/>
    </row>
    <row r="20" spans="1:6" x14ac:dyDescent="0.25">
      <c r="A20" s="118"/>
      <c r="B20" s="117"/>
      <c r="C20" s="117"/>
      <c r="D20" s="117"/>
      <c r="E20" s="117"/>
      <c r="F20" s="117"/>
    </row>
    <row r="21" spans="1:6" x14ac:dyDescent="0.25">
      <c r="A21" s="119"/>
      <c r="B21" s="117"/>
      <c r="C21" s="117"/>
      <c r="D21" s="117"/>
      <c r="E21" s="117"/>
      <c r="F21" s="117"/>
    </row>
    <row r="22" spans="1:6" x14ac:dyDescent="0.25">
      <c r="A22" s="119"/>
      <c r="B22" s="117"/>
      <c r="C22" s="117"/>
      <c r="D22" s="117"/>
      <c r="E22" s="117"/>
      <c r="F22" s="117"/>
    </row>
    <row r="23" spans="1:6" x14ac:dyDescent="0.25">
      <c r="A23" s="119"/>
      <c r="B23" s="117"/>
      <c r="C23" s="117"/>
      <c r="D23" s="117"/>
      <c r="E23" s="117"/>
      <c r="F23" s="117"/>
    </row>
    <row r="24" spans="1:6" x14ac:dyDescent="0.25">
      <c r="A24" s="120"/>
      <c r="B24" s="117"/>
      <c r="C24" s="117"/>
      <c r="D24" s="117"/>
      <c r="E24" s="117"/>
      <c r="F24" s="117"/>
    </row>
    <row r="25" spans="1:6" x14ac:dyDescent="0.25">
      <c r="A25" s="118"/>
      <c r="B25" s="117"/>
      <c r="C25" s="117"/>
      <c r="D25" s="117"/>
      <c r="E25" s="117"/>
      <c r="F25" s="117"/>
    </row>
    <row r="26" spans="1:6" x14ac:dyDescent="0.25">
      <c r="A26" s="119"/>
      <c r="B26" s="117"/>
      <c r="C26" s="117"/>
      <c r="D26" s="117"/>
      <c r="E26" s="117"/>
      <c r="F26" s="117"/>
    </row>
    <row r="27" spans="1:6" x14ac:dyDescent="0.25">
      <c r="A27" s="121"/>
      <c r="B27" s="117"/>
      <c r="C27" s="117"/>
      <c r="D27" s="117"/>
      <c r="E27" s="117"/>
      <c r="F27" s="117"/>
    </row>
    <row r="28" spans="1:6" x14ac:dyDescent="0.25">
      <c r="A28" s="121"/>
      <c r="B28" s="117"/>
      <c r="C28" s="117"/>
      <c r="D28" s="117"/>
      <c r="E28" s="117"/>
      <c r="F28" s="117"/>
    </row>
    <row r="29" spans="1:6" x14ac:dyDescent="0.25">
      <c r="A29" s="121"/>
      <c r="B29" s="117"/>
      <c r="C29" s="117"/>
      <c r="D29" s="117"/>
      <c r="E29" s="117"/>
      <c r="F29" s="117"/>
    </row>
    <row r="30" spans="1:6" x14ac:dyDescent="0.25">
      <c r="A30" s="121"/>
      <c r="B30" s="117"/>
      <c r="C30" s="117"/>
      <c r="D30" s="117"/>
      <c r="E30" s="117"/>
      <c r="F30" s="117"/>
    </row>
    <row r="31" spans="1:6" x14ac:dyDescent="0.25">
      <c r="A31" s="121"/>
      <c r="B31" s="117"/>
      <c r="C31" s="117"/>
      <c r="D31" s="117"/>
      <c r="E31" s="117"/>
      <c r="F31" s="117"/>
    </row>
    <row r="32" spans="1:6" x14ac:dyDescent="0.25">
      <c r="A32" s="121"/>
      <c r="B32" s="117"/>
      <c r="C32" s="117"/>
      <c r="D32" s="117"/>
      <c r="E32" s="117"/>
      <c r="F32" s="117"/>
    </row>
    <row r="33" spans="1:6" x14ac:dyDescent="0.25">
      <c r="A33" s="122"/>
      <c r="B33" s="117"/>
      <c r="C33" s="117"/>
      <c r="D33" s="117"/>
      <c r="E33" s="117"/>
      <c r="F33" s="117"/>
    </row>
    <row r="34" spans="1:6" x14ac:dyDescent="0.25">
      <c r="A34" s="122"/>
      <c r="B34" s="117"/>
      <c r="C34" s="117"/>
      <c r="D34" s="117"/>
      <c r="E34" s="117"/>
      <c r="F34" s="117"/>
    </row>
    <row r="35" spans="1:6" x14ac:dyDescent="0.25">
      <c r="A35" s="122"/>
      <c r="B35" s="117"/>
      <c r="C35" s="117"/>
      <c r="D35" s="117"/>
      <c r="E35" s="117"/>
      <c r="F35" s="117"/>
    </row>
    <row r="36" spans="1:6" x14ac:dyDescent="0.25">
      <c r="A36" s="117"/>
      <c r="B36" s="117"/>
      <c r="C36" s="117"/>
      <c r="D36" s="117"/>
      <c r="E36" s="117"/>
      <c r="F36" s="117"/>
    </row>
    <row r="37" spans="1:6" x14ac:dyDescent="0.25">
      <c r="A37" s="117"/>
      <c r="B37" s="117"/>
      <c r="C37" s="117"/>
      <c r="D37" s="117"/>
      <c r="E37" s="117"/>
      <c r="F37" s="117"/>
    </row>
    <row r="38" spans="1:6" x14ac:dyDescent="0.25">
      <c r="A38" s="117"/>
      <c r="B38" s="117"/>
      <c r="C38" s="117"/>
      <c r="D38" s="117"/>
      <c r="E38" s="117"/>
      <c r="F38" s="117"/>
    </row>
    <row r="39" spans="1:6" x14ac:dyDescent="0.25">
      <c r="A39" s="117"/>
      <c r="B39" s="117"/>
      <c r="C39" s="117"/>
      <c r="D39" s="117"/>
      <c r="E39" s="117"/>
      <c r="F39" s="117"/>
    </row>
    <row r="40" spans="1:6" x14ac:dyDescent="0.25">
      <c r="A40" s="117"/>
      <c r="B40" s="117"/>
      <c r="C40" s="117"/>
      <c r="D40" s="117"/>
      <c r="E40" s="117"/>
      <c r="F40" s="1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0113EBCFF8074FBB71C56595A3818A" ma:contentTypeVersion="3" ma:contentTypeDescription="Opprett et nytt dokument." ma:contentTypeScope="" ma:versionID="97d7fe888d7a83b343fb324438410a6f">
  <xsd:schema xmlns:xsd="http://www.w3.org/2001/XMLSchema" xmlns:xs="http://www.w3.org/2001/XMLSchema" xmlns:p="http://schemas.microsoft.com/office/2006/metadata/properties" xmlns:ns2="37539cb6-098d-4cc8-8ea0-78d4a2aa79ba" targetNamespace="http://schemas.microsoft.com/office/2006/metadata/properties" ma:root="true" ma:fieldsID="394f7e9ed5621bd66c337fcd68ee4ebb" ns2:_="">
    <xsd:import namespace="37539cb6-098d-4cc8-8ea0-78d4a2aa79b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39cb6-098d-4cc8-8ea0-78d4a2aa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868FE-84F1-405D-9924-5802388561D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37539cb6-098d-4cc8-8ea0-78d4a2aa79b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DBBA5CF-AE47-42CA-B24A-466A85F7F2DA}">
  <ds:schemaRefs>
    <ds:schemaRef ds:uri="http://schemas.microsoft.com/sharepoint/v3/contenttype/forms"/>
  </ds:schemaRefs>
</ds:datastoreItem>
</file>

<file path=customXml/itemProps3.xml><?xml version="1.0" encoding="utf-8"?>
<ds:datastoreItem xmlns:ds="http://schemas.openxmlformats.org/officeDocument/2006/customXml" ds:itemID="{6184BF37-F6EF-4094-B1A2-2B7DD2B81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39cb6-098d-4cc8-8ea0-78d4a2aa79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ba1bd5c-750f-4ad6-aba3-0f95585bc21f}" enabled="0" method="" siteId="{6ba1bd5c-750f-4ad6-aba3-0f95585bc2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1</vt:i4>
      </vt:variant>
    </vt:vector>
  </HeadingPairs>
  <TitlesOfParts>
    <vt:vector size="15" baseType="lpstr">
      <vt:lpstr>Ark1</vt:lpstr>
      <vt:lpstr>Forside</vt:lpstr>
      <vt:lpstr>Tallgrunnlag inputdata</vt:lpstr>
      <vt:lpstr>Overordnet tiltak</vt:lpstr>
      <vt:lpstr>T1 - Styrke lavterskel helsetj.</vt:lpstr>
      <vt:lpstr>T2 - Foreldrestøttende tiltak</vt:lpstr>
      <vt:lpstr>T3 - BTI-modellen</vt:lpstr>
      <vt:lpstr>T4 - Tydeliggjøre forventninger</vt:lpstr>
      <vt:lpstr>T5 - Standardisering av praksis</vt:lpstr>
      <vt:lpstr>T6 - Styrke komp. fritid</vt:lpstr>
      <vt:lpstr>T7 - Implementere SKILLS</vt:lpstr>
      <vt:lpstr>ARKIV - Psykoedukasjon</vt:lpstr>
      <vt:lpstr>ARKIV - Psykoedukasjon 2</vt:lpstr>
      <vt:lpstr>0-17 år per kommune</vt:lpstr>
      <vt:lpstr>'Ark1'!_Toc224912474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Konstanse Kristianslund</dc:creator>
  <cp:keywords/>
  <dc:description/>
  <cp:lastModifiedBy>Sara Konstanse Kristianslund</cp:lastModifiedBy>
  <cp:revision/>
  <dcterms:created xsi:type="dcterms:W3CDTF">2026-02-24T08:07:45Z</dcterms:created>
  <dcterms:modified xsi:type="dcterms:W3CDTF">2026-04-14T12:54:45Z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0x010100E60113EBCFF8074FBB71C56595A3818A</vt:lpwstr>
  </property>
  <property fmtid="{D5CDD505-2E9C-101B-9397-08002B2CF9AE}" pid="3" name="MediaServiceImageTags">
    <vt:lpwstr/>
  </property>
</Properties>
</file>