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O:\Prosjekt\4000 Fi Felles\Felles\Fastlege\Fastlegestatistikk juni 2009\Styringsdata\Kvartal\2020-4\"/>
    </mc:Choice>
  </mc:AlternateContent>
  <xr:revisionPtr revIDLastSave="0" documentId="13_ncr:1_{1DF99312-5EB6-4988-A7E1-42987B899C31}" xr6:coauthVersionLast="45" xr6:coauthVersionMax="45" xr10:uidLastSave="{00000000-0000-0000-0000-000000000000}"/>
  <bookViews>
    <workbookView xWindow="-120" yWindow="-120" windowWidth="29040" windowHeight="17640" tabRatio="922" xr2:uid="{00000000-000D-0000-FFFF-FFFF00000000}"/>
  </bookViews>
  <sheets>
    <sheet name="Tabell 1" sheetId="2" r:id="rId1"/>
    <sheet name="Tabell 2" sheetId="5" r:id="rId2"/>
    <sheet name="Tabell 3" sheetId="6" r:id="rId3"/>
    <sheet name="Tabell 4" sheetId="7" r:id="rId4"/>
    <sheet name="Tabell 5" sheetId="9" r:id="rId5"/>
    <sheet name="ny tabell 6 spes fastlønn" sheetId="26" r:id="rId6"/>
    <sheet name="Tabell 6" sheetId="10" r:id="rId7"/>
    <sheet name="Tabell 7 ny" sheetId="8" r:id="rId8"/>
    <sheet name="Figur 1" sheetId="13" r:id="rId9"/>
    <sheet name="Tabell 8" sheetId="11" r:id="rId10"/>
    <sheet name="Tabell 9" sheetId="12" r:id="rId11"/>
    <sheet name="Figur 2" sheetId="23" r:id="rId12"/>
    <sheet name="Tabell 12" sheetId="1" r:id="rId13"/>
  </sheets>
  <definedNames>
    <definedName name="_xlnm.Print_Area" localSheetId="8">'Figur 1'!$A$1:$G$19</definedName>
    <definedName name="_xlnm.Print_Area" localSheetId="0">'Tabell 1'!$A$1:$E$38</definedName>
    <definedName name="_xlnm.Print_Area" localSheetId="12">'Tabell 12'!$A$1:$I$23</definedName>
    <definedName name="_xlnm.Print_Area" localSheetId="1">'Tabell 2'!$A$1:$P$91</definedName>
    <definedName name="_xlnm.Print_Area" localSheetId="4">'Tabell 5'!$A:$H</definedName>
    <definedName name="_xlnm.Print_Area" localSheetId="6">'Tabell 6'!$A$1:$G$94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8" i="12" l="1"/>
  <c r="C67" i="12"/>
  <c r="R23" i="23"/>
  <c r="C63" i="12"/>
  <c r="J63" i="12"/>
  <c r="R22" i="23"/>
  <c r="C62" i="12"/>
  <c r="J62" i="12"/>
  <c r="C64" i="12"/>
  <c r="B64" i="12" s="1"/>
  <c r="J64" i="12"/>
  <c r="B63" i="12" l="1"/>
  <c r="B62" i="12"/>
  <c r="G89" i="10" l="1"/>
  <c r="B89" i="10"/>
  <c r="I89" i="10" s="1"/>
  <c r="L89" i="10"/>
  <c r="J89" i="10" s="1"/>
  <c r="K5" i="26"/>
  <c r="K7" i="26"/>
  <c r="K89" i="10" l="1"/>
  <c r="D16" i="2" l="1"/>
  <c r="D14" i="2"/>
  <c r="R25" i="23"/>
  <c r="C65" i="12"/>
  <c r="J65" i="12"/>
  <c r="F85" i="11"/>
  <c r="Q55" i="13"/>
  <c r="P55" i="13"/>
  <c r="O55" i="13"/>
  <c r="N55" i="13"/>
  <c r="M55" i="13"/>
  <c r="H55" i="13"/>
  <c r="G55" i="13"/>
  <c r="F55" i="13"/>
  <c r="D12" i="2"/>
  <c r="P7" i="1"/>
  <c r="E26" i="2"/>
  <c r="D32" i="2"/>
  <c r="D31" i="2"/>
  <c r="D30" i="2"/>
  <c r="D29" i="2"/>
  <c r="D28" i="2"/>
  <c r="D26" i="2"/>
  <c r="D25" i="2"/>
  <c r="D23" i="2"/>
  <c r="D21" i="2"/>
  <c r="G91" i="10"/>
  <c r="B91" i="10"/>
  <c r="I91" i="10" s="1"/>
  <c r="B34" i="2" s="1"/>
  <c r="M5" i="26"/>
  <c r="M7" i="26"/>
  <c r="L91" i="10"/>
  <c r="J91" i="10" s="1"/>
  <c r="B36" i="2" s="1"/>
  <c r="D19" i="2"/>
  <c r="B65" i="12" l="1"/>
  <c r="L55" i="13"/>
  <c r="C55" i="13" s="1"/>
  <c r="E55" i="13"/>
  <c r="B55" i="13" s="1"/>
  <c r="K91" i="10"/>
  <c r="B38" i="2" s="1"/>
  <c r="D85" i="8" l="1"/>
  <c r="F85" i="8" s="1"/>
  <c r="D8" i="2"/>
  <c r="D6" i="2"/>
  <c r="S8" i="1"/>
  <c r="S9" i="1"/>
  <c r="S10" i="1"/>
  <c r="S11" i="1"/>
  <c r="S12" i="1"/>
  <c r="S13" i="1"/>
  <c r="S14" i="1"/>
  <c r="S15" i="1"/>
  <c r="S16" i="1"/>
  <c r="S17" i="1"/>
  <c r="S18" i="1"/>
  <c r="P8" i="1"/>
  <c r="P9" i="1"/>
  <c r="P10" i="1"/>
  <c r="P11" i="1"/>
  <c r="P12" i="1"/>
  <c r="P13" i="1"/>
  <c r="P14" i="1"/>
  <c r="P15" i="1"/>
  <c r="P16" i="1"/>
  <c r="P17" i="1"/>
  <c r="P18" i="1"/>
  <c r="G84" i="9"/>
  <c r="F84" i="9"/>
  <c r="E84" i="9"/>
  <c r="D84" i="9"/>
  <c r="C84" i="9"/>
  <c r="C86" i="6"/>
  <c r="G86" i="7"/>
  <c r="E86" i="7"/>
  <c r="F86" i="7" s="1"/>
  <c r="C86" i="7"/>
  <c r="D86" i="7"/>
  <c r="E86" i="6"/>
  <c r="E86" i="5"/>
  <c r="F86" i="5"/>
  <c r="I86" i="5"/>
  <c r="L86" i="5"/>
  <c r="N86" i="5"/>
  <c r="P86" i="5"/>
  <c r="H84" i="9" l="1"/>
  <c r="G86" i="5"/>
  <c r="D83" i="8"/>
  <c r="F83" i="8" s="1"/>
  <c r="C53" i="13"/>
  <c r="E53" i="13"/>
  <c r="B53" i="13" s="1"/>
  <c r="L53" i="13"/>
  <c r="B83" i="11"/>
  <c r="C83" i="11"/>
  <c r="F83" i="11"/>
  <c r="C82" i="9" l="1"/>
  <c r="H82" i="9"/>
  <c r="C84" i="7" l="1"/>
  <c r="D84" i="7" s="1"/>
  <c r="F84" i="7"/>
  <c r="C84" i="6"/>
  <c r="E84" i="6"/>
  <c r="E84" i="5"/>
  <c r="F84" i="5"/>
  <c r="I84" i="5"/>
  <c r="L84" i="5"/>
  <c r="N84" i="5"/>
  <c r="P84" i="5"/>
  <c r="G84" i="5" s="1"/>
  <c r="C85" i="6" l="1"/>
  <c r="R24" i="23"/>
  <c r="D84" i="8"/>
  <c r="F84" i="8" s="1"/>
  <c r="Q54" i="13"/>
  <c r="P54" i="13"/>
  <c r="O54" i="13"/>
  <c r="N54" i="13"/>
  <c r="H54" i="13"/>
  <c r="G54" i="13"/>
  <c r="F54" i="13"/>
  <c r="E54" i="13"/>
  <c r="M54" i="13"/>
  <c r="F84" i="11"/>
  <c r="B90" i="10"/>
  <c r="B88" i="10"/>
  <c r="G90" i="10"/>
  <c r="L90" i="10"/>
  <c r="J90" i="10" s="1"/>
  <c r="E19" i="2"/>
  <c r="S7" i="1"/>
  <c r="L7" i="26"/>
  <c r="L5" i="26"/>
  <c r="I90" i="10" l="1"/>
  <c r="L54" i="13"/>
  <c r="C54" i="13" s="1"/>
  <c r="B54" i="13"/>
  <c r="K90" i="10"/>
  <c r="G83" i="9"/>
  <c r="F83" i="9"/>
  <c r="E83" i="9"/>
  <c r="D83" i="9"/>
  <c r="C83" i="9"/>
  <c r="F85" i="7"/>
  <c r="C85" i="7"/>
  <c r="D85" i="7" s="1"/>
  <c r="G85" i="7"/>
  <c r="E85" i="7"/>
  <c r="E83" i="7"/>
  <c r="E85" i="6"/>
  <c r="I85" i="5"/>
  <c r="L85" i="5"/>
  <c r="P85" i="5"/>
  <c r="N85" i="5"/>
  <c r="E85" i="5"/>
  <c r="F85" i="5"/>
  <c r="H83" i="9" l="1"/>
  <c r="G85" i="5"/>
  <c r="G88" i="10"/>
  <c r="G87" i="10"/>
  <c r="G86" i="10"/>
  <c r="G85" i="10"/>
  <c r="G84" i="10"/>
  <c r="G83" i="10"/>
  <c r="G82" i="10"/>
  <c r="G81" i="10"/>
  <c r="G80" i="10"/>
  <c r="B87" i="10"/>
  <c r="B86" i="10"/>
  <c r="B85" i="10"/>
  <c r="B84" i="10"/>
  <c r="B83" i="10"/>
  <c r="B82" i="10"/>
  <c r="B81" i="10"/>
  <c r="B80" i="10"/>
  <c r="J7" i="26"/>
  <c r="I7" i="26"/>
  <c r="H7" i="26"/>
  <c r="G7" i="26"/>
  <c r="F7" i="26"/>
  <c r="E7" i="26"/>
  <c r="D7" i="26"/>
  <c r="C7" i="26"/>
  <c r="B7" i="26"/>
  <c r="J5" i="26"/>
  <c r="I5" i="26"/>
  <c r="H5" i="26"/>
  <c r="G5" i="26"/>
  <c r="F5" i="26"/>
  <c r="E5" i="26"/>
  <c r="D5" i="26"/>
  <c r="C5" i="26"/>
  <c r="B5" i="26"/>
  <c r="C61" i="12" l="1"/>
  <c r="Q25" i="23" s="1"/>
  <c r="J61" i="12"/>
  <c r="B61" i="12" l="1"/>
  <c r="C83" i="6" l="1"/>
  <c r="G83" i="7"/>
  <c r="F82" i="11"/>
  <c r="Q52" i="13"/>
  <c r="P52" i="13"/>
  <c r="O52" i="13"/>
  <c r="N52" i="13"/>
  <c r="M52" i="13"/>
  <c r="H52" i="13"/>
  <c r="G52" i="13"/>
  <c r="F52" i="13"/>
  <c r="E52" i="13"/>
  <c r="B52" i="13" s="1"/>
  <c r="D82" i="8"/>
  <c r="F82" i="8" s="1"/>
  <c r="L88" i="10"/>
  <c r="I88" i="10" s="1"/>
  <c r="L87" i="10"/>
  <c r="I87" i="10" s="1"/>
  <c r="G81" i="9"/>
  <c r="F81" i="9"/>
  <c r="E81" i="9"/>
  <c r="D81" i="9"/>
  <c r="C81" i="9"/>
  <c r="C83" i="7"/>
  <c r="D83" i="7" s="1"/>
  <c r="F83" i="7"/>
  <c r="E83" i="6"/>
  <c r="E83" i="5"/>
  <c r="F83" i="5"/>
  <c r="I83" i="5"/>
  <c r="L83" i="5"/>
  <c r="N83" i="5"/>
  <c r="P83" i="5"/>
  <c r="K87" i="10" l="1"/>
  <c r="J87" i="10"/>
  <c r="K88" i="10"/>
  <c r="J88" i="10"/>
  <c r="B82" i="11"/>
  <c r="L52" i="13"/>
  <c r="H81" i="9"/>
  <c r="G83" i="5"/>
  <c r="C60" i="12"/>
  <c r="Q24" i="23" s="1"/>
  <c r="J60" i="12"/>
  <c r="C52" i="13" l="1"/>
  <c r="C82" i="11"/>
  <c r="B60" i="12"/>
  <c r="K19" i="1"/>
  <c r="F81" i="11"/>
  <c r="Q51" i="13"/>
  <c r="P51" i="13"/>
  <c r="O51" i="13"/>
  <c r="N51" i="13"/>
  <c r="M51" i="13"/>
  <c r="H51" i="13"/>
  <c r="G51" i="13"/>
  <c r="F51" i="13"/>
  <c r="D81" i="8"/>
  <c r="F81" i="8" s="1"/>
  <c r="C82" i="6"/>
  <c r="G80" i="9"/>
  <c r="F80" i="9"/>
  <c r="E80" i="9"/>
  <c r="D80" i="9"/>
  <c r="C80" i="9"/>
  <c r="F82" i="5"/>
  <c r="P82" i="5"/>
  <c r="C82" i="7"/>
  <c r="D82" i="7" s="1"/>
  <c r="L51" i="13" l="1"/>
  <c r="C51" i="13" s="1"/>
  <c r="C81" i="11"/>
  <c r="H80" i="9"/>
  <c r="E51" i="13"/>
  <c r="G82" i="7"/>
  <c r="E82" i="7"/>
  <c r="F82" i="7" s="1"/>
  <c r="E82" i="6"/>
  <c r="N82" i="5"/>
  <c r="G82" i="5" s="1"/>
  <c r="L82" i="5"/>
  <c r="I82" i="5"/>
  <c r="E82" i="5"/>
  <c r="B51" i="13" l="1"/>
  <c r="B81" i="11"/>
  <c r="C7" i="1"/>
  <c r="L81" i="5" l="1"/>
  <c r="N81" i="5"/>
  <c r="P81" i="5"/>
  <c r="C81" i="6"/>
  <c r="C59" i="12"/>
  <c r="Q23" i="23" s="1"/>
  <c r="J59" i="12"/>
  <c r="L86" i="10"/>
  <c r="I86" i="10" s="1"/>
  <c r="D7" i="1"/>
  <c r="F80" i="11"/>
  <c r="H50" i="13"/>
  <c r="G50" i="13"/>
  <c r="F50" i="13"/>
  <c r="L50" i="13"/>
  <c r="C80" i="11" s="1"/>
  <c r="D80" i="8"/>
  <c r="F80" i="8" s="1"/>
  <c r="G79" i="9"/>
  <c r="F79" i="9"/>
  <c r="E79" i="9"/>
  <c r="D79" i="9"/>
  <c r="C79" i="9"/>
  <c r="G81" i="7"/>
  <c r="E81" i="7"/>
  <c r="F81" i="7" s="1"/>
  <c r="C81" i="7"/>
  <c r="D81" i="7" s="1"/>
  <c r="E81" i="6"/>
  <c r="F81" i="5"/>
  <c r="I81" i="5"/>
  <c r="E81" i="5"/>
  <c r="G81" i="5" l="1"/>
  <c r="H79" i="9"/>
  <c r="B59" i="12"/>
  <c r="K86" i="10"/>
  <c r="J86" i="10"/>
  <c r="C50" i="13"/>
  <c r="E50" i="13"/>
  <c r="B50" i="13" l="1"/>
  <c r="B80" i="11"/>
  <c r="C80" i="6" l="1"/>
  <c r="C58" i="12" l="1"/>
  <c r="J58" i="12"/>
  <c r="F79" i="11"/>
  <c r="Q49" i="13"/>
  <c r="P49" i="13"/>
  <c r="O49" i="13"/>
  <c r="N49" i="13"/>
  <c r="H49" i="13"/>
  <c r="G49" i="13"/>
  <c r="F49" i="13"/>
  <c r="D79" i="8"/>
  <c r="F79" i="8" s="1"/>
  <c r="L85" i="10"/>
  <c r="I85" i="10" s="1"/>
  <c r="G78" i="9"/>
  <c r="F78" i="9"/>
  <c r="E78" i="9"/>
  <c r="D78" i="9"/>
  <c r="H78" i="9" s="1"/>
  <c r="C78" i="9"/>
  <c r="G80" i="7"/>
  <c r="E80" i="7"/>
  <c r="F80" i="7" s="1"/>
  <c r="C80" i="7"/>
  <c r="D80" i="7" s="1"/>
  <c r="E80" i="6"/>
  <c r="E80" i="5"/>
  <c r="F80" i="5"/>
  <c r="I80" i="5"/>
  <c r="L80" i="5"/>
  <c r="N80" i="5"/>
  <c r="P80" i="5"/>
  <c r="G80" i="5" s="1"/>
  <c r="Q22" i="23" l="1"/>
  <c r="B58" i="12"/>
  <c r="L49" i="13"/>
  <c r="E49" i="13"/>
  <c r="K85" i="10"/>
  <c r="J85" i="10"/>
  <c r="C79" i="6"/>
  <c r="L7" i="1"/>
  <c r="B7" i="1" s="1"/>
  <c r="V7" i="1"/>
  <c r="I7" i="1" s="1"/>
  <c r="AA7" i="1"/>
  <c r="AE7" i="1"/>
  <c r="C8" i="1"/>
  <c r="L8" i="1"/>
  <c r="B8" i="1" s="1"/>
  <c r="D8" i="1"/>
  <c r="V8" i="1"/>
  <c r="I8" i="1" s="1"/>
  <c r="AA8" i="1"/>
  <c r="AE8" i="1"/>
  <c r="C9" i="1"/>
  <c r="L9" i="1"/>
  <c r="B9" i="1" s="1"/>
  <c r="D9" i="1"/>
  <c r="V9" i="1"/>
  <c r="I9" i="1" s="1"/>
  <c r="AA9" i="1"/>
  <c r="AE9" i="1"/>
  <c r="C10" i="1"/>
  <c r="L10" i="1"/>
  <c r="B10" i="1" s="1"/>
  <c r="D10" i="1"/>
  <c r="V10" i="1"/>
  <c r="I10" i="1" s="1"/>
  <c r="AA10" i="1"/>
  <c r="AE10" i="1"/>
  <c r="C11" i="1"/>
  <c r="L11" i="1"/>
  <c r="B11" i="1" s="1"/>
  <c r="D11" i="1"/>
  <c r="V11" i="1"/>
  <c r="I11" i="1" s="1"/>
  <c r="AA11" i="1"/>
  <c r="AE11" i="1"/>
  <c r="C12" i="1"/>
  <c r="L12" i="1"/>
  <c r="B12" i="1" s="1"/>
  <c r="D12" i="1"/>
  <c r="V12" i="1"/>
  <c r="I12" i="1" s="1"/>
  <c r="AA12" i="1"/>
  <c r="AE12" i="1"/>
  <c r="C13" i="1"/>
  <c r="L13" i="1"/>
  <c r="B13" i="1" s="1"/>
  <c r="D13" i="1"/>
  <c r="V13" i="1"/>
  <c r="I13" i="1" s="1"/>
  <c r="AA13" i="1"/>
  <c r="AE13" i="1"/>
  <c r="C14" i="1"/>
  <c r="L14" i="1"/>
  <c r="B14" i="1" s="1"/>
  <c r="D14" i="1"/>
  <c r="V14" i="1"/>
  <c r="I14" i="1" s="1"/>
  <c r="AA14" i="1"/>
  <c r="AE14" i="1"/>
  <c r="C15" i="1"/>
  <c r="L15" i="1"/>
  <c r="B15" i="1" s="1"/>
  <c r="D15" i="1"/>
  <c r="V15" i="1"/>
  <c r="I15" i="1" s="1"/>
  <c r="AA15" i="1"/>
  <c r="AE15" i="1"/>
  <c r="C16" i="1"/>
  <c r="L16" i="1"/>
  <c r="B16" i="1" s="1"/>
  <c r="D16" i="1"/>
  <c r="V16" i="1"/>
  <c r="I16" i="1" s="1"/>
  <c r="AA16" i="1"/>
  <c r="AE16" i="1"/>
  <c r="C17" i="1"/>
  <c r="L17" i="1"/>
  <c r="B17" i="1" s="1"/>
  <c r="D17" i="1"/>
  <c r="V17" i="1"/>
  <c r="I17" i="1" s="1"/>
  <c r="AA17" i="1"/>
  <c r="AE17" i="1"/>
  <c r="V18" i="1"/>
  <c r="I18" i="1" s="1"/>
  <c r="AA18" i="1"/>
  <c r="AE18" i="1"/>
  <c r="M19" i="1"/>
  <c r="N19" i="1"/>
  <c r="D18" i="2" s="1"/>
  <c r="O19" i="1"/>
  <c r="Q19" i="1"/>
  <c r="R19" i="1"/>
  <c r="T19" i="1"/>
  <c r="U19" i="1"/>
  <c r="W19" i="1"/>
  <c r="Y19" i="1"/>
  <c r="AB19" i="1"/>
  <c r="AC19" i="1"/>
  <c r="AD19" i="1"/>
  <c r="AF19" i="1"/>
  <c r="AG19" i="1"/>
  <c r="B22" i="23"/>
  <c r="C22" i="23"/>
  <c r="D22" i="23"/>
  <c r="E22" i="23"/>
  <c r="B23" i="23"/>
  <c r="C23" i="23"/>
  <c r="D23" i="23"/>
  <c r="B24" i="23"/>
  <c r="C24" i="23"/>
  <c r="D24" i="23"/>
  <c r="B25" i="23"/>
  <c r="C25" i="23"/>
  <c r="D25" i="23"/>
  <c r="C11" i="12"/>
  <c r="E23" i="23" s="1"/>
  <c r="J11" i="12"/>
  <c r="C12" i="12"/>
  <c r="J12" i="12"/>
  <c r="C13" i="12"/>
  <c r="E25" i="23" s="1"/>
  <c r="J13" i="12"/>
  <c r="C14" i="12"/>
  <c r="F22" i="23" s="1"/>
  <c r="J14" i="12"/>
  <c r="C15" i="12"/>
  <c r="F23" i="23" s="1"/>
  <c r="J15" i="12"/>
  <c r="C16" i="12"/>
  <c r="J16" i="12"/>
  <c r="C17" i="12"/>
  <c r="F25" i="23" s="1"/>
  <c r="J17" i="12"/>
  <c r="C18" i="12"/>
  <c r="J18" i="12"/>
  <c r="C19" i="12"/>
  <c r="G23" i="23" s="1"/>
  <c r="J19" i="12"/>
  <c r="C20" i="12"/>
  <c r="J20" i="12"/>
  <c r="C21" i="12"/>
  <c r="G25" i="23" s="1"/>
  <c r="J21" i="12"/>
  <c r="C22" i="12"/>
  <c r="H22" i="23" s="1"/>
  <c r="J22" i="12"/>
  <c r="C23" i="12"/>
  <c r="H23" i="23" s="1"/>
  <c r="J23" i="12"/>
  <c r="C24" i="12"/>
  <c r="J24" i="12"/>
  <c r="C25" i="12"/>
  <c r="H25" i="23" s="1"/>
  <c r="J25" i="12"/>
  <c r="C26" i="12"/>
  <c r="J26" i="12"/>
  <c r="C27" i="12"/>
  <c r="I23" i="23" s="1"/>
  <c r="J27" i="12"/>
  <c r="C28" i="12"/>
  <c r="J28" i="12"/>
  <c r="C29" i="12"/>
  <c r="I25" i="23" s="1"/>
  <c r="J29" i="12"/>
  <c r="C30" i="12"/>
  <c r="J22" i="23" s="1"/>
  <c r="J30" i="12"/>
  <c r="C31" i="12"/>
  <c r="J23" i="23" s="1"/>
  <c r="J31" i="12"/>
  <c r="C32" i="12"/>
  <c r="J32" i="12"/>
  <c r="C33" i="12"/>
  <c r="J25" i="23" s="1"/>
  <c r="J33" i="12"/>
  <c r="C34" i="12"/>
  <c r="J34" i="12"/>
  <c r="C35" i="12"/>
  <c r="K23" i="23" s="1"/>
  <c r="J35" i="12"/>
  <c r="C36" i="12"/>
  <c r="J36" i="12"/>
  <c r="C37" i="12"/>
  <c r="K25" i="23" s="1"/>
  <c r="J37" i="12"/>
  <c r="C38" i="12"/>
  <c r="L22" i="23" s="1"/>
  <c r="J38" i="12"/>
  <c r="C39" i="12"/>
  <c r="L23" i="23" s="1"/>
  <c r="J39" i="12"/>
  <c r="C40" i="12"/>
  <c r="J40" i="12"/>
  <c r="C41" i="12"/>
  <c r="L25" i="23" s="1"/>
  <c r="J41" i="12"/>
  <c r="C42" i="12"/>
  <c r="J42" i="12"/>
  <c r="C43" i="12"/>
  <c r="M23" i="23" s="1"/>
  <c r="J43" i="12"/>
  <c r="C44" i="12"/>
  <c r="J44" i="12"/>
  <c r="C45" i="12"/>
  <c r="M25" i="23" s="1"/>
  <c r="J45" i="12"/>
  <c r="C46" i="12"/>
  <c r="N22" i="23" s="1"/>
  <c r="J46" i="12"/>
  <c r="C47" i="12"/>
  <c r="N23" i="23" s="1"/>
  <c r="J47" i="12"/>
  <c r="C48" i="12"/>
  <c r="J48" i="12"/>
  <c r="C49" i="12"/>
  <c r="N25" i="23" s="1"/>
  <c r="J49" i="12"/>
  <c r="C50" i="12"/>
  <c r="J50" i="12"/>
  <c r="C51" i="12"/>
  <c r="O23" i="23" s="1"/>
  <c r="J51" i="12"/>
  <c r="C52" i="12"/>
  <c r="J52" i="12"/>
  <c r="C53" i="12"/>
  <c r="O25" i="23" s="1"/>
  <c r="J53" i="12"/>
  <c r="C54" i="12"/>
  <c r="P22" i="23" s="1"/>
  <c r="J54" i="12"/>
  <c r="C55" i="12"/>
  <c r="P23" i="23" s="1"/>
  <c r="J55" i="12"/>
  <c r="C56" i="12"/>
  <c r="J56" i="12"/>
  <c r="C57" i="12"/>
  <c r="J57" i="12"/>
  <c r="F71" i="11"/>
  <c r="F72" i="11"/>
  <c r="F73" i="11"/>
  <c r="F74" i="11"/>
  <c r="F75" i="11"/>
  <c r="F76" i="11"/>
  <c r="F77" i="11"/>
  <c r="F78" i="11"/>
  <c r="B22" i="13"/>
  <c r="C22" i="13"/>
  <c r="J22" i="13"/>
  <c r="Q22" i="13"/>
  <c r="B23" i="13"/>
  <c r="C23" i="13"/>
  <c r="J23" i="13"/>
  <c r="Q23" i="13"/>
  <c r="B24" i="13"/>
  <c r="C24" i="13"/>
  <c r="J24" i="13"/>
  <c r="Q24" i="13"/>
  <c r="B25" i="13"/>
  <c r="C25" i="13"/>
  <c r="J25" i="13"/>
  <c r="Q25" i="13"/>
  <c r="B26" i="13"/>
  <c r="C26" i="13"/>
  <c r="J26" i="13"/>
  <c r="Q26" i="13"/>
  <c r="B27" i="13"/>
  <c r="C27" i="13"/>
  <c r="J27" i="13"/>
  <c r="Q27" i="13"/>
  <c r="F28" i="13"/>
  <c r="G28" i="13"/>
  <c r="H28" i="13"/>
  <c r="I28" i="13"/>
  <c r="J28" i="13"/>
  <c r="M28" i="13"/>
  <c r="N28" i="13"/>
  <c r="O28" i="13"/>
  <c r="P28" i="13"/>
  <c r="Q28" i="13"/>
  <c r="F29" i="13"/>
  <c r="G29" i="13"/>
  <c r="H29" i="13"/>
  <c r="I29" i="13"/>
  <c r="M29" i="13"/>
  <c r="N29" i="13"/>
  <c r="O29" i="13"/>
  <c r="P29" i="13"/>
  <c r="Q29" i="13"/>
  <c r="F30" i="13"/>
  <c r="G30" i="13"/>
  <c r="H30" i="13"/>
  <c r="I30" i="13"/>
  <c r="J30" i="13"/>
  <c r="M30" i="13"/>
  <c r="N30" i="13"/>
  <c r="O30" i="13"/>
  <c r="P30" i="13"/>
  <c r="Q30" i="13"/>
  <c r="F31" i="13"/>
  <c r="G31" i="13"/>
  <c r="H31" i="13"/>
  <c r="I31" i="13"/>
  <c r="J31" i="13"/>
  <c r="M31" i="13"/>
  <c r="N31" i="13"/>
  <c r="O31" i="13"/>
  <c r="P31" i="13"/>
  <c r="Q31" i="13"/>
  <c r="F32" i="13"/>
  <c r="G32" i="13"/>
  <c r="H32" i="13"/>
  <c r="I32" i="13"/>
  <c r="J32" i="13"/>
  <c r="L32" i="13"/>
  <c r="C32" i="13" s="1"/>
  <c r="F33" i="13"/>
  <c r="G33" i="13"/>
  <c r="H33" i="13"/>
  <c r="I33" i="13"/>
  <c r="J33" i="13"/>
  <c r="M33" i="13"/>
  <c r="N33" i="13"/>
  <c r="O33" i="13"/>
  <c r="P33" i="13"/>
  <c r="Q33" i="13"/>
  <c r="F34" i="13"/>
  <c r="G34" i="13"/>
  <c r="H34" i="13"/>
  <c r="I34" i="13"/>
  <c r="J34" i="13"/>
  <c r="M34" i="13"/>
  <c r="N34" i="13"/>
  <c r="O34" i="13"/>
  <c r="P34" i="13"/>
  <c r="Q34" i="13"/>
  <c r="F35" i="13"/>
  <c r="G35" i="13"/>
  <c r="H35" i="13"/>
  <c r="I35" i="13"/>
  <c r="J35" i="13"/>
  <c r="M35" i="13"/>
  <c r="N35" i="13"/>
  <c r="O35" i="13"/>
  <c r="P35" i="13"/>
  <c r="Q35" i="13"/>
  <c r="F36" i="13"/>
  <c r="G36" i="13"/>
  <c r="H36" i="13"/>
  <c r="I36" i="13"/>
  <c r="J36" i="13"/>
  <c r="M36" i="13"/>
  <c r="N36" i="13"/>
  <c r="O36" i="13"/>
  <c r="P36" i="13"/>
  <c r="Q36" i="13"/>
  <c r="F37" i="13"/>
  <c r="G37" i="13"/>
  <c r="H37" i="13"/>
  <c r="I37" i="13"/>
  <c r="J37" i="13"/>
  <c r="M37" i="13"/>
  <c r="N37" i="13"/>
  <c r="O37" i="13"/>
  <c r="P37" i="13"/>
  <c r="Q37" i="13"/>
  <c r="E38" i="13"/>
  <c r="B38" i="13" s="1"/>
  <c r="L38" i="13"/>
  <c r="C38" i="13" s="1"/>
  <c r="E39" i="13"/>
  <c r="B69" i="11" s="1"/>
  <c r="L39" i="13"/>
  <c r="C39" i="13" s="1"/>
  <c r="E40" i="13"/>
  <c r="L40" i="13"/>
  <c r="F41" i="13"/>
  <c r="G41" i="13"/>
  <c r="H41" i="13"/>
  <c r="L41" i="13"/>
  <c r="C41" i="13" s="1"/>
  <c r="F42" i="13"/>
  <c r="G42" i="13"/>
  <c r="H42" i="13"/>
  <c r="L42" i="13"/>
  <c r="C72" i="11" s="1"/>
  <c r="F43" i="13"/>
  <c r="G43" i="13"/>
  <c r="H43" i="13"/>
  <c r="N43" i="13"/>
  <c r="O43" i="13"/>
  <c r="P43" i="13"/>
  <c r="Q43" i="13"/>
  <c r="F44" i="13"/>
  <c r="G44" i="13"/>
  <c r="H44" i="13"/>
  <c r="M44" i="13"/>
  <c r="N44" i="13"/>
  <c r="O44" i="13"/>
  <c r="P44" i="13"/>
  <c r="Q44" i="13"/>
  <c r="F45" i="13"/>
  <c r="G45" i="13"/>
  <c r="H45" i="13"/>
  <c r="N45" i="13"/>
  <c r="O45" i="13"/>
  <c r="P45" i="13"/>
  <c r="Q45" i="13"/>
  <c r="F46" i="13"/>
  <c r="G46" i="13"/>
  <c r="H46" i="13"/>
  <c r="N46" i="13"/>
  <c r="O46" i="13"/>
  <c r="P46" i="13"/>
  <c r="Q46" i="13"/>
  <c r="F47" i="13"/>
  <c r="G47" i="13"/>
  <c r="H47" i="13"/>
  <c r="N47" i="13"/>
  <c r="O47" i="13"/>
  <c r="P47" i="13"/>
  <c r="Q47" i="13"/>
  <c r="F48" i="13"/>
  <c r="G48" i="13"/>
  <c r="H48" i="13"/>
  <c r="N48" i="13"/>
  <c r="O48" i="13"/>
  <c r="P48" i="13"/>
  <c r="Q48" i="13"/>
  <c r="D8" i="8"/>
  <c r="F8" i="8" s="1"/>
  <c r="D9" i="8"/>
  <c r="F9" i="8" s="1"/>
  <c r="D10" i="8"/>
  <c r="F10" i="8" s="1"/>
  <c r="D11" i="8"/>
  <c r="F11" i="8" s="1"/>
  <c r="D12" i="8"/>
  <c r="F12" i="8" s="1"/>
  <c r="D13" i="8"/>
  <c r="F13" i="8" s="1"/>
  <c r="D14" i="8"/>
  <c r="F14" i="8" s="1"/>
  <c r="D15" i="8"/>
  <c r="F15" i="8" s="1"/>
  <c r="D16" i="8"/>
  <c r="F16" i="8" s="1"/>
  <c r="D17" i="8"/>
  <c r="F17" i="8" s="1"/>
  <c r="D18" i="8"/>
  <c r="F18" i="8" s="1"/>
  <c r="D19" i="8"/>
  <c r="F19" i="8" s="1"/>
  <c r="D20" i="8"/>
  <c r="F20" i="8" s="1"/>
  <c r="D21" i="8"/>
  <c r="F21" i="8" s="1"/>
  <c r="D22" i="8"/>
  <c r="F22" i="8" s="1"/>
  <c r="D23" i="8"/>
  <c r="F23" i="8" s="1"/>
  <c r="D24" i="8"/>
  <c r="F24" i="8" s="1"/>
  <c r="D25" i="8"/>
  <c r="F25" i="8" s="1"/>
  <c r="D26" i="8"/>
  <c r="F26" i="8" s="1"/>
  <c r="D27" i="8"/>
  <c r="F27" i="8" s="1"/>
  <c r="D28" i="8"/>
  <c r="F28" i="8" s="1"/>
  <c r="D29" i="8"/>
  <c r="F29" i="8" s="1"/>
  <c r="D30" i="8"/>
  <c r="F30" i="8" s="1"/>
  <c r="D31" i="8"/>
  <c r="F31" i="8" s="1"/>
  <c r="D32" i="8"/>
  <c r="F32" i="8" s="1"/>
  <c r="D33" i="8"/>
  <c r="F33" i="8" s="1"/>
  <c r="D34" i="8"/>
  <c r="F34" i="8" s="1"/>
  <c r="D35" i="8"/>
  <c r="F35" i="8" s="1"/>
  <c r="D36" i="8"/>
  <c r="F36" i="8" s="1"/>
  <c r="D37" i="8"/>
  <c r="F37" i="8" s="1"/>
  <c r="D38" i="8"/>
  <c r="F38" i="8" s="1"/>
  <c r="D39" i="8"/>
  <c r="F39" i="8" s="1"/>
  <c r="D40" i="8"/>
  <c r="F40" i="8" s="1"/>
  <c r="D41" i="8"/>
  <c r="F41" i="8" s="1"/>
  <c r="D42" i="8"/>
  <c r="F42" i="8" s="1"/>
  <c r="D43" i="8"/>
  <c r="F43" i="8" s="1"/>
  <c r="D44" i="8"/>
  <c r="F44" i="8" s="1"/>
  <c r="D45" i="8"/>
  <c r="F45" i="8" s="1"/>
  <c r="D46" i="8"/>
  <c r="F46" i="8" s="1"/>
  <c r="D47" i="8"/>
  <c r="F47" i="8" s="1"/>
  <c r="D48" i="8"/>
  <c r="F48" i="8" s="1"/>
  <c r="D49" i="8"/>
  <c r="F49" i="8" s="1"/>
  <c r="D50" i="8"/>
  <c r="F50" i="8" s="1"/>
  <c r="D51" i="8"/>
  <c r="F51" i="8" s="1"/>
  <c r="D52" i="8"/>
  <c r="F52" i="8" s="1"/>
  <c r="D53" i="8"/>
  <c r="F53" i="8" s="1"/>
  <c r="D54" i="8"/>
  <c r="F54" i="8" s="1"/>
  <c r="D55" i="8"/>
  <c r="F55" i="8" s="1"/>
  <c r="D56" i="8"/>
  <c r="F56" i="8" s="1"/>
  <c r="D57" i="8"/>
  <c r="F57" i="8" s="1"/>
  <c r="D58" i="8"/>
  <c r="F58" i="8" s="1"/>
  <c r="D59" i="8"/>
  <c r="F59" i="8" s="1"/>
  <c r="D60" i="8"/>
  <c r="F60" i="8" s="1"/>
  <c r="D61" i="8"/>
  <c r="F61" i="8" s="1"/>
  <c r="D62" i="8"/>
  <c r="F62" i="8" s="1"/>
  <c r="D63" i="8"/>
  <c r="F63" i="8" s="1"/>
  <c r="D64" i="8"/>
  <c r="F64" i="8" s="1"/>
  <c r="D65" i="8"/>
  <c r="F65" i="8" s="1"/>
  <c r="D66" i="8"/>
  <c r="F66" i="8" s="1"/>
  <c r="D67" i="8"/>
  <c r="F67" i="8" s="1"/>
  <c r="D68" i="8"/>
  <c r="F68" i="8" s="1"/>
  <c r="D69" i="8"/>
  <c r="F69" i="8" s="1"/>
  <c r="D70" i="8"/>
  <c r="F70" i="8" s="1"/>
  <c r="D71" i="8"/>
  <c r="F71" i="8" s="1"/>
  <c r="D72" i="8"/>
  <c r="F72" i="8" s="1"/>
  <c r="D73" i="8"/>
  <c r="F73" i="8" s="1"/>
  <c r="D74" i="8"/>
  <c r="F74" i="8" s="1"/>
  <c r="D75" i="8"/>
  <c r="F75" i="8" s="1"/>
  <c r="D76" i="8"/>
  <c r="F76" i="8" s="1"/>
  <c r="D77" i="8"/>
  <c r="F77" i="8" s="1"/>
  <c r="D78" i="8"/>
  <c r="F78" i="8" s="1"/>
  <c r="L76" i="10"/>
  <c r="K76" i="10" s="1"/>
  <c r="L77" i="10"/>
  <c r="K77" i="10" s="1"/>
  <c r="L78" i="10"/>
  <c r="K78" i="10" s="1"/>
  <c r="L79" i="10"/>
  <c r="K79" i="10" s="1"/>
  <c r="L80" i="10"/>
  <c r="L81" i="10"/>
  <c r="K81" i="10" s="1"/>
  <c r="L82" i="10"/>
  <c r="K82" i="10" s="1"/>
  <c r="L83" i="10"/>
  <c r="K83" i="10" s="1"/>
  <c r="L84" i="10"/>
  <c r="K84" i="10" s="1"/>
  <c r="C6" i="9"/>
  <c r="H6" i="9"/>
  <c r="C7" i="9"/>
  <c r="H7" i="9"/>
  <c r="C8" i="9"/>
  <c r="H8" i="9"/>
  <c r="C9" i="9"/>
  <c r="H9" i="9"/>
  <c r="C10" i="9"/>
  <c r="H10" i="9"/>
  <c r="C11" i="9"/>
  <c r="H11" i="9"/>
  <c r="C12" i="9"/>
  <c r="H12" i="9"/>
  <c r="C13" i="9"/>
  <c r="H13" i="9"/>
  <c r="C14" i="9"/>
  <c r="H14" i="9"/>
  <c r="C15" i="9"/>
  <c r="H15" i="9"/>
  <c r="C16" i="9"/>
  <c r="H16" i="9"/>
  <c r="C17" i="9"/>
  <c r="H17" i="9"/>
  <c r="C18" i="9"/>
  <c r="H18" i="9"/>
  <c r="C19" i="9"/>
  <c r="H19" i="9"/>
  <c r="C20" i="9"/>
  <c r="H20" i="9"/>
  <c r="C21" i="9"/>
  <c r="H21" i="9"/>
  <c r="C22" i="9"/>
  <c r="H22" i="9"/>
  <c r="C23" i="9"/>
  <c r="H23" i="9"/>
  <c r="C24" i="9"/>
  <c r="H24" i="9"/>
  <c r="C25" i="9"/>
  <c r="H25" i="9"/>
  <c r="C26" i="9"/>
  <c r="H26" i="9"/>
  <c r="C27" i="9"/>
  <c r="H27" i="9"/>
  <c r="C28" i="9"/>
  <c r="H28" i="9"/>
  <c r="C29" i="9"/>
  <c r="H29" i="9"/>
  <c r="C30" i="9"/>
  <c r="H30" i="9"/>
  <c r="C31" i="9"/>
  <c r="H31" i="9"/>
  <c r="C32" i="9"/>
  <c r="H32" i="9"/>
  <c r="C33" i="9"/>
  <c r="H33" i="9"/>
  <c r="C34" i="9"/>
  <c r="H34" i="9"/>
  <c r="C35" i="9"/>
  <c r="H35" i="9"/>
  <c r="C36" i="9"/>
  <c r="H36" i="9"/>
  <c r="C37" i="9"/>
  <c r="H37" i="9"/>
  <c r="C38" i="9"/>
  <c r="H38" i="9"/>
  <c r="C39" i="9"/>
  <c r="D39" i="9"/>
  <c r="E39" i="9"/>
  <c r="F39" i="9"/>
  <c r="G39" i="9"/>
  <c r="C40" i="9"/>
  <c r="D40" i="9"/>
  <c r="E40" i="9"/>
  <c r="F40" i="9"/>
  <c r="G40" i="9"/>
  <c r="C41" i="9"/>
  <c r="D41" i="9"/>
  <c r="E41" i="9"/>
  <c r="F41" i="9"/>
  <c r="G41" i="9"/>
  <c r="C42" i="9"/>
  <c r="D42" i="9"/>
  <c r="E42" i="9"/>
  <c r="F42" i="9"/>
  <c r="G42" i="9"/>
  <c r="C43" i="9"/>
  <c r="D43" i="9"/>
  <c r="E43" i="9"/>
  <c r="F43" i="9"/>
  <c r="G43" i="9"/>
  <c r="C44" i="9"/>
  <c r="D44" i="9"/>
  <c r="E44" i="9"/>
  <c r="F44" i="9"/>
  <c r="G44" i="9"/>
  <c r="C45" i="9"/>
  <c r="D45" i="9"/>
  <c r="E45" i="9"/>
  <c r="F45" i="9"/>
  <c r="G45" i="9"/>
  <c r="C46" i="9"/>
  <c r="D46" i="9"/>
  <c r="E46" i="9"/>
  <c r="F46" i="9"/>
  <c r="G46" i="9"/>
  <c r="C47" i="9"/>
  <c r="D47" i="9"/>
  <c r="E47" i="9"/>
  <c r="F47" i="9"/>
  <c r="G47" i="9"/>
  <c r="C48" i="9"/>
  <c r="D48" i="9"/>
  <c r="E48" i="9"/>
  <c r="F48" i="9"/>
  <c r="G48" i="9"/>
  <c r="C49" i="9"/>
  <c r="D49" i="9"/>
  <c r="E49" i="9"/>
  <c r="F49" i="9"/>
  <c r="G49" i="9"/>
  <c r="C50" i="9"/>
  <c r="D50" i="9"/>
  <c r="E50" i="9"/>
  <c r="F50" i="9"/>
  <c r="G50" i="9"/>
  <c r="C51" i="9"/>
  <c r="D51" i="9"/>
  <c r="E51" i="9"/>
  <c r="F51" i="9"/>
  <c r="G51" i="9"/>
  <c r="C52" i="9"/>
  <c r="D52" i="9"/>
  <c r="E52" i="9"/>
  <c r="F52" i="9"/>
  <c r="G52" i="9"/>
  <c r="C53" i="9"/>
  <c r="D53" i="9"/>
  <c r="E53" i="9"/>
  <c r="F53" i="9"/>
  <c r="G53" i="9"/>
  <c r="C54" i="9"/>
  <c r="D54" i="9"/>
  <c r="E54" i="9"/>
  <c r="F54" i="9"/>
  <c r="G54" i="9"/>
  <c r="C55" i="9"/>
  <c r="D55" i="9"/>
  <c r="E55" i="9"/>
  <c r="F55" i="9"/>
  <c r="G55" i="9"/>
  <c r="C56" i="9"/>
  <c r="D56" i="9"/>
  <c r="E56" i="9"/>
  <c r="F56" i="9"/>
  <c r="G56" i="9"/>
  <c r="H56" i="9" s="1"/>
  <c r="C57" i="9"/>
  <c r="D57" i="9"/>
  <c r="E57" i="9"/>
  <c r="F57" i="9"/>
  <c r="G57" i="9"/>
  <c r="C58" i="9"/>
  <c r="D58" i="9"/>
  <c r="E58" i="9"/>
  <c r="F58" i="9"/>
  <c r="G58" i="9"/>
  <c r="C59" i="9"/>
  <c r="D59" i="9"/>
  <c r="E59" i="9"/>
  <c r="F59" i="9"/>
  <c r="G59" i="9"/>
  <c r="C60" i="9"/>
  <c r="D60" i="9"/>
  <c r="E60" i="9"/>
  <c r="F60" i="9"/>
  <c r="G60" i="9"/>
  <c r="C61" i="9"/>
  <c r="D61" i="9"/>
  <c r="E61" i="9"/>
  <c r="F61" i="9"/>
  <c r="G61" i="9"/>
  <c r="C62" i="9"/>
  <c r="D62" i="9"/>
  <c r="E62" i="9"/>
  <c r="F62" i="9"/>
  <c r="G62" i="9"/>
  <c r="C63" i="9"/>
  <c r="D63" i="9"/>
  <c r="E63" i="9"/>
  <c r="F63" i="9"/>
  <c r="G63" i="9"/>
  <c r="C64" i="9"/>
  <c r="D64" i="9"/>
  <c r="E64" i="9"/>
  <c r="F64" i="9"/>
  <c r="G64" i="9"/>
  <c r="H64" i="9" s="1"/>
  <c r="C65" i="9"/>
  <c r="D65" i="9"/>
  <c r="E65" i="9"/>
  <c r="F65" i="9"/>
  <c r="G65" i="9"/>
  <c r="C66" i="9"/>
  <c r="D66" i="9"/>
  <c r="E66" i="9"/>
  <c r="F66" i="9"/>
  <c r="G66" i="9"/>
  <c r="C67" i="9"/>
  <c r="H67" i="9"/>
  <c r="C68" i="9"/>
  <c r="H68" i="9"/>
  <c r="C69" i="9"/>
  <c r="H69" i="9"/>
  <c r="C70" i="9"/>
  <c r="D70" i="9"/>
  <c r="E70" i="9"/>
  <c r="F70" i="9"/>
  <c r="G70" i="9"/>
  <c r="C71" i="9"/>
  <c r="D71" i="9"/>
  <c r="E71" i="9"/>
  <c r="F71" i="9"/>
  <c r="G71" i="9"/>
  <c r="C72" i="9"/>
  <c r="D72" i="9"/>
  <c r="E72" i="9"/>
  <c r="F72" i="9"/>
  <c r="G72" i="9"/>
  <c r="C73" i="9"/>
  <c r="D73" i="9"/>
  <c r="E73" i="9"/>
  <c r="F73" i="9"/>
  <c r="G73" i="9"/>
  <c r="C74" i="9"/>
  <c r="D74" i="9"/>
  <c r="E74" i="9"/>
  <c r="F74" i="9"/>
  <c r="G74" i="9"/>
  <c r="C75" i="9"/>
  <c r="D75" i="9"/>
  <c r="E75" i="9"/>
  <c r="F75" i="9"/>
  <c r="G75" i="9"/>
  <c r="C76" i="9"/>
  <c r="D76" i="9"/>
  <c r="E76" i="9"/>
  <c r="F76" i="9"/>
  <c r="G76" i="9"/>
  <c r="C77" i="9"/>
  <c r="D77" i="9"/>
  <c r="E77" i="9"/>
  <c r="F77" i="9"/>
  <c r="G77" i="9"/>
  <c r="D8" i="7"/>
  <c r="F8" i="7"/>
  <c r="D9" i="7"/>
  <c r="F9" i="7"/>
  <c r="D10" i="7"/>
  <c r="F10" i="7"/>
  <c r="D11" i="7"/>
  <c r="F11" i="7"/>
  <c r="D12" i="7"/>
  <c r="F12" i="7"/>
  <c r="D13" i="7"/>
  <c r="F13" i="7"/>
  <c r="D14" i="7"/>
  <c r="F14" i="7"/>
  <c r="D15" i="7"/>
  <c r="F15" i="7"/>
  <c r="D16" i="7"/>
  <c r="F16" i="7"/>
  <c r="D17" i="7"/>
  <c r="F17" i="7"/>
  <c r="D18" i="7"/>
  <c r="F18" i="7"/>
  <c r="D19" i="7"/>
  <c r="F19" i="7"/>
  <c r="D20" i="7"/>
  <c r="F20" i="7"/>
  <c r="D21" i="7"/>
  <c r="F21" i="7"/>
  <c r="D22" i="7"/>
  <c r="F22" i="7"/>
  <c r="D23" i="7"/>
  <c r="F23" i="7"/>
  <c r="D24" i="7"/>
  <c r="F24" i="7"/>
  <c r="D25" i="7"/>
  <c r="F25" i="7"/>
  <c r="D26" i="7"/>
  <c r="F26" i="7"/>
  <c r="D27" i="7"/>
  <c r="F27" i="7"/>
  <c r="D28" i="7"/>
  <c r="F28" i="7"/>
  <c r="D29" i="7"/>
  <c r="F29" i="7"/>
  <c r="D30" i="7"/>
  <c r="F30" i="7"/>
  <c r="D31" i="7"/>
  <c r="F31" i="7"/>
  <c r="D32" i="7"/>
  <c r="F32" i="7"/>
  <c r="D33" i="7"/>
  <c r="F33" i="7"/>
  <c r="D34" i="7"/>
  <c r="F34" i="7"/>
  <c r="D35" i="7"/>
  <c r="F35" i="7"/>
  <c r="D36" i="7"/>
  <c r="F36" i="7"/>
  <c r="D37" i="7"/>
  <c r="F37" i="7"/>
  <c r="D38" i="7"/>
  <c r="F38" i="7"/>
  <c r="D39" i="7"/>
  <c r="F39" i="7"/>
  <c r="D40" i="7"/>
  <c r="F40" i="7"/>
  <c r="D41" i="7"/>
  <c r="F41" i="7"/>
  <c r="D42" i="7"/>
  <c r="F42" i="7"/>
  <c r="D43" i="7"/>
  <c r="F43" i="7"/>
  <c r="D44" i="7"/>
  <c r="F44" i="7"/>
  <c r="D45" i="7"/>
  <c r="F45" i="7"/>
  <c r="D46" i="7"/>
  <c r="F46" i="7"/>
  <c r="D47" i="7"/>
  <c r="F47" i="7"/>
  <c r="D48" i="7"/>
  <c r="F48" i="7"/>
  <c r="D49" i="7"/>
  <c r="F49" i="7"/>
  <c r="D50" i="7"/>
  <c r="F50" i="7"/>
  <c r="D51" i="7"/>
  <c r="F51" i="7"/>
  <c r="D52" i="7"/>
  <c r="F52" i="7"/>
  <c r="D53" i="7"/>
  <c r="F53" i="7"/>
  <c r="D54" i="7"/>
  <c r="F54" i="7"/>
  <c r="D55" i="7"/>
  <c r="F55" i="7"/>
  <c r="D56" i="7"/>
  <c r="F56" i="7"/>
  <c r="D57" i="7"/>
  <c r="F57" i="7"/>
  <c r="D58" i="7"/>
  <c r="F58" i="7"/>
  <c r="D59" i="7"/>
  <c r="F59" i="7"/>
  <c r="D60" i="7"/>
  <c r="F60" i="7"/>
  <c r="D61" i="7"/>
  <c r="F61" i="7"/>
  <c r="D62" i="7"/>
  <c r="F62" i="7"/>
  <c r="D63" i="7"/>
  <c r="F63" i="7"/>
  <c r="D64" i="7"/>
  <c r="F64" i="7"/>
  <c r="D65" i="7"/>
  <c r="F65" i="7"/>
  <c r="D66" i="7"/>
  <c r="F66" i="7"/>
  <c r="D67" i="7"/>
  <c r="F67" i="7"/>
  <c r="D68" i="7"/>
  <c r="F68" i="7"/>
  <c r="D69" i="7"/>
  <c r="E69" i="7"/>
  <c r="F69" i="7" s="1"/>
  <c r="G69" i="7"/>
  <c r="D70" i="7"/>
  <c r="E70" i="7"/>
  <c r="F70" i="7" s="1"/>
  <c r="G70" i="7"/>
  <c r="D71" i="7"/>
  <c r="E71" i="7"/>
  <c r="F71" i="7" s="1"/>
  <c r="G71" i="7"/>
  <c r="C72" i="7"/>
  <c r="D72" i="7" s="1"/>
  <c r="E72" i="7"/>
  <c r="F72" i="7" s="1"/>
  <c r="G72" i="7"/>
  <c r="C73" i="7"/>
  <c r="D73" i="7" s="1"/>
  <c r="E73" i="7"/>
  <c r="F73" i="7" s="1"/>
  <c r="G73" i="7"/>
  <c r="C74" i="7"/>
  <c r="D74" i="7" s="1"/>
  <c r="E74" i="7"/>
  <c r="F74" i="7" s="1"/>
  <c r="G74" i="7"/>
  <c r="C75" i="7"/>
  <c r="D75" i="7" s="1"/>
  <c r="E75" i="7"/>
  <c r="F75" i="7" s="1"/>
  <c r="G75" i="7"/>
  <c r="C76" i="7"/>
  <c r="D76" i="7" s="1"/>
  <c r="E76" i="7"/>
  <c r="F76" i="7" s="1"/>
  <c r="G76" i="7"/>
  <c r="C77" i="7"/>
  <c r="D77" i="7" s="1"/>
  <c r="E77" i="7"/>
  <c r="F77" i="7" s="1"/>
  <c r="G77" i="7"/>
  <c r="C78" i="7"/>
  <c r="D78" i="7" s="1"/>
  <c r="E78" i="7"/>
  <c r="F78" i="7" s="1"/>
  <c r="G78" i="7"/>
  <c r="C79" i="7"/>
  <c r="D79" i="7" s="1"/>
  <c r="E79" i="7"/>
  <c r="F79" i="7" s="1"/>
  <c r="G79" i="7"/>
  <c r="C6" i="6"/>
  <c r="C7" i="6"/>
  <c r="C8" i="6"/>
  <c r="E8" i="6"/>
  <c r="C9" i="6"/>
  <c r="E9" i="6"/>
  <c r="C10" i="6"/>
  <c r="E10" i="6"/>
  <c r="C11" i="6"/>
  <c r="E11" i="6"/>
  <c r="C12" i="6"/>
  <c r="E12" i="6"/>
  <c r="C13" i="6"/>
  <c r="E13" i="6"/>
  <c r="C14" i="6"/>
  <c r="E14" i="6"/>
  <c r="C15" i="6"/>
  <c r="E15" i="6"/>
  <c r="C16" i="6"/>
  <c r="E16" i="6"/>
  <c r="C17" i="6"/>
  <c r="E17" i="6"/>
  <c r="C18" i="6"/>
  <c r="E18" i="6"/>
  <c r="C19" i="6"/>
  <c r="E19" i="6"/>
  <c r="C20" i="6"/>
  <c r="E20" i="6"/>
  <c r="C21" i="6"/>
  <c r="E21" i="6"/>
  <c r="C22" i="6"/>
  <c r="E22" i="6"/>
  <c r="C23" i="6"/>
  <c r="E23" i="6"/>
  <c r="C24" i="6"/>
  <c r="E24" i="6"/>
  <c r="C25" i="6"/>
  <c r="E25" i="6"/>
  <c r="C26" i="6"/>
  <c r="E26" i="6"/>
  <c r="C27" i="6"/>
  <c r="E27" i="6"/>
  <c r="C28" i="6"/>
  <c r="E28" i="6"/>
  <c r="C29" i="6"/>
  <c r="E29" i="6"/>
  <c r="C30" i="6"/>
  <c r="E30" i="6"/>
  <c r="C31" i="6"/>
  <c r="E31" i="6"/>
  <c r="C32" i="6"/>
  <c r="E32" i="6"/>
  <c r="C33" i="6"/>
  <c r="E33" i="6"/>
  <c r="C34" i="6"/>
  <c r="E34" i="6"/>
  <c r="C35" i="6"/>
  <c r="E35" i="6"/>
  <c r="C36" i="6"/>
  <c r="E36" i="6"/>
  <c r="C37" i="6"/>
  <c r="E37" i="6"/>
  <c r="C38" i="6"/>
  <c r="E38" i="6"/>
  <c r="C39" i="6"/>
  <c r="E39" i="6"/>
  <c r="C40" i="6"/>
  <c r="E40" i="6"/>
  <c r="C41" i="6"/>
  <c r="E41" i="6"/>
  <c r="C42" i="6"/>
  <c r="E42" i="6"/>
  <c r="C43" i="6"/>
  <c r="E43" i="6"/>
  <c r="C44" i="6"/>
  <c r="E44" i="6"/>
  <c r="C45" i="6"/>
  <c r="E45" i="6"/>
  <c r="C46" i="6"/>
  <c r="E46" i="6"/>
  <c r="C47" i="6"/>
  <c r="E47" i="6"/>
  <c r="C48" i="6"/>
  <c r="E48" i="6"/>
  <c r="C49" i="6"/>
  <c r="E49" i="6"/>
  <c r="C50" i="6"/>
  <c r="E50" i="6"/>
  <c r="C51" i="6"/>
  <c r="E51" i="6"/>
  <c r="C52" i="6"/>
  <c r="E52" i="6"/>
  <c r="C53" i="6"/>
  <c r="E53" i="6"/>
  <c r="C54" i="6"/>
  <c r="E54" i="6"/>
  <c r="C55" i="6"/>
  <c r="E55" i="6"/>
  <c r="C56" i="6"/>
  <c r="E56" i="6"/>
  <c r="C57" i="6"/>
  <c r="E57" i="6"/>
  <c r="C58" i="6"/>
  <c r="E58" i="6"/>
  <c r="C59" i="6"/>
  <c r="E59" i="6"/>
  <c r="C60" i="6"/>
  <c r="E60" i="6"/>
  <c r="C61" i="6"/>
  <c r="E61" i="6"/>
  <c r="C62" i="6"/>
  <c r="E62" i="6"/>
  <c r="C63" i="6"/>
  <c r="E63" i="6"/>
  <c r="C64" i="6"/>
  <c r="E64" i="6"/>
  <c r="C65" i="6"/>
  <c r="E65" i="6"/>
  <c r="C66" i="6"/>
  <c r="E66" i="6"/>
  <c r="C67" i="6"/>
  <c r="E67" i="6"/>
  <c r="C68" i="6"/>
  <c r="E68" i="6"/>
  <c r="C69" i="6"/>
  <c r="E69" i="6"/>
  <c r="C70" i="6"/>
  <c r="E70" i="6"/>
  <c r="C71" i="6"/>
  <c r="E71" i="6"/>
  <c r="C72" i="6"/>
  <c r="E72" i="6"/>
  <c r="C73" i="6"/>
  <c r="E73" i="6"/>
  <c r="C74" i="6"/>
  <c r="E74" i="6"/>
  <c r="C75" i="6"/>
  <c r="E75" i="6"/>
  <c r="C76" i="6"/>
  <c r="E76" i="6"/>
  <c r="C77" i="6"/>
  <c r="E77" i="6"/>
  <c r="C78" i="6"/>
  <c r="E78" i="6"/>
  <c r="E79" i="6"/>
  <c r="N6" i="5"/>
  <c r="E8" i="5"/>
  <c r="E9" i="5"/>
  <c r="F9" i="5"/>
  <c r="I9" i="5"/>
  <c r="L9" i="5"/>
  <c r="N9" i="5"/>
  <c r="P9" i="5"/>
  <c r="E10" i="5"/>
  <c r="F10" i="5"/>
  <c r="I10" i="5"/>
  <c r="L10" i="5"/>
  <c r="N10" i="5"/>
  <c r="P10" i="5"/>
  <c r="E11" i="5"/>
  <c r="F11" i="5"/>
  <c r="I11" i="5"/>
  <c r="L11" i="5"/>
  <c r="N11" i="5"/>
  <c r="P11" i="5"/>
  <c r="E12" i="5"/>
  <c r="F12" i="5"/>
  <c r="I12" i="5"/>
  <c r="L12" i="5"/>
  <c r="N12" i="5"/>
  <c r="P12" i="5"/>
  <c r="E13" i="5"/>
  <c r="F13" i="5"/>
  <c r="I13" i="5"/>
  <c r="L13" i="5"/>
  <c r="N13" i="5"/>
  <c r="P13" i="5"/>
  <c r="G13" i="5" s="1"/>
  <c r="E14" i="5"/>
  <c r="F14" i="5"/>
  <c r="I14" i="5"/>
  <c r="L14" i="5"/>
  <c r="N14" i="5"/>
  <c r="P14" i="5"/>
  <c r="E15" i="5"/>
  <c r="F15" i="5"/>
  <c r="I15" i="5"/>
  <c r="L15" i="5"/>
  <c r="N15" i="5"/>
  <c r="P15" i="5"/>
  <c r="E16" i="5"/>
  <c r="F16" i="5"/>
  <c r="I16" i="5"/>
  <c r="L16" i="5"/>
  <c r="N16" i="5"/>
  <c r="P16" i="5"/>
  <c r="E17" i="5"/>
  <c r="F17" i="5"/>
  <c r="I17" i="5"/>
  <c r="L17" i="5"/>
  <c r="N17" i="5"/>
  <c r="P17" i="5"/>
  <c r="G17" i="5" s="1"/>
  <c r="E18" i="5"/>
  <c r="F18" i="5"/>
  <c r="I18" i="5"/>
  <c r="L18" i="5"/>
  <c r="N18" i="5"/>
  <c r="P18" i="5"/>
  <c r="E19" i="5"/>
  <c r="F19" i="5"/>
  <c r="I19" i="5"/>
  <c r="L19" i="5"/>
  <c r="N19" i="5"/>
  <c r="P19" i="5"/>
  <c r="E20" i="5"/>
  <c r="F20" i="5"/>
  <c r="I20" i="5"/>
  <c r="L20" i="5"/>
  <c r="N20" i="5"/>
  <c r="P20" i="5"/>
  <c r="E21" i="5"/>
  <c r="F21" i="5"/>
  <c r="I21" i="5"/>
  <c r="L21" i="5"/>
  <c r="N21" i="5"/>
  <c r="P21" i="5"/>
  <c r="E22" i="5"/>
  <c r="F22" i="5"/>
  <c r="I22" i="5"/>
  <c r="L22" i="5"/>
  <c r="N22" i="5"/>
  <c r="P22" i="5"/>
  <c r="E23" i="5"/>
  <c r="F23" i="5"/>
  <c r="I23" i="5"/>
  <c r="L23" i="5"/>
  <c r="N23" i="5"/>
  <c r="P23" i="5"/>
  <c r="E24" i="5"/>
  <c r="F24" i="5"/>
  <c r="I24" i="5"/>
  <c r="L24" i="5"/>
  <c r="N24" i="5"/>
  <c r="P24" i="5"/>
  <c r="E25" i="5"/>
  <c r="F25" i="5"/>
  <c r="I25" i="5"/>
  <c r="L25" i="5"/>
  <c r="N25" i="5"/>
  <c r="P25" i="5"/>
  <c r="E26" i="5"/>
  <c r="F26" i="5"/>
  <c r="I26" i="5"/>
  <c r="L26" i="5"/>
  <c r="N26" i="5"/>
  <c r="P26" i="5"/>
  <c r="E27" i="5"/>
  <c r="F27" i="5"/>
  <c r="I27" i="5"/>
  <c r="L27" i="5"/>
  <c r="N27" i="5"/>
  <c r="P27" i="5"/>
  <c r="E28" i="5"/>
  <c r="F28" i="5"/>
  <c r="I28" i="5"/>
  <c r="L28" i="5"/>
  <c r="N28" i="5"/>
  <c r="P28" i="5"/>
  <c r="E29" i="5"/>
  <c r="F29" i="5"/>
  <c r="I29" i="5"/>
  <c r="L29" i="5"/>
  <c r="N29" i="5"/>
  <c r="P29" i="5"/>
  <c r="G29" i="5" s="1"/>
  <c r="E30" i="5"/>
  <c r="F30" i="5"/>
  <c r="I30" i="5"/>
  <c r="L30" i="5"/>
  <c r="N30" i="5"/>
  <c r="P30" i="5"/>
  <c r="E31" i="5"/>
  <c r="F31" i="5"/>
  <c r="I31" i="5"/>
  <c r="L31" i="5"/>
  <c r="N31" i="5"/>
  <c r="P31" i="5"/>
  <c r="E32" i="5"/>
  <c r="F32" i="5"/>
  <c r="I32" i="5"/>
  <c r="L32" i="5"/>
  <c r="N32" i="5"/>
  <c r="P32" i="5"/>
  <c r="E33" i="5"/>
  <c r="F33" i="5"/>
  <c r="I33" i="5"/>
  <c r="L33" i="5"/>
  <c r="N33" i="5"/>
  <c r="P33" i="5"/>
  <c r="G33" i="5" s="1"/>
  <c r="E34" i="5"/>
  <c r="F34" i="5"/>
  <c r="I34" i="5"/>
  <c r="L34" i="5"/>
  <c r="N34" i="5"/>
  <c r="P34" i="5"/>
  <c r="E35" i="5"/>
  <c r="F35" i="5"/>
  <c r="I35" i="5"/>
  <c r="L35" i="5"/>
  <c r="N35" i="5"/>
  <c r="P35" i="5"/>
  <c r="G35" i="5" s="1"/>
  <c r="E36" i="5"/>
  <c r="F36" i="5"/>
  <c r="I36" i="5"/>
  <c r="L36" i="5"/>
  <c r="N36" i="5"/>
  <c r="P36" i="5"/>
  <c r="E37" i="5"/>
  <c r="F37" i="5"/>
  <c r="I37" i="5"/>
  <c r="L37" i="5"/>
  <c r="N37" i="5"/>
  <c r="P37" i="5"/>
  <c r="E38" i="5"/>
  <c r="F38" i="5"/>
  <c r="I38" i="5"/>
  <c r="L38" i="5"/>
  <c r="N38" i="5"/>
  <c r="P38" i="5"/>
  <c r="E39" i="5"/>
  <c r="F39" i="5"/>
  <c r="I39" i="5"/>
  <c r="L39" i="5"/>
  <c r="N39" i="5"/>
  <c r="P39" i="5"/>
  <c r="G39" i="5" s="1"/>
  <c r="E40" i="5"/>
  <c r="F40" i="5"/>
  <c r="I40" i="5"/>
  <c r="L40" i="5"/>
  <c r="N40" i="5"/>
  <c r="P40" i="5"/>
  <c r="E41" i="5"/>
  <c r="F41" i="5"/>
  <c r="I41" i="5"/>
  <c r="L41" i="5"/>
  <c r="N41" i="5"/>
  <c r="P41" i="5"/>
  <c r="E42" i="5"/>
  <c r="F42" i="5"/>
  <c r="I42" i="5"/>
  <c r="L42" i="5"/>
  <c r="N42" i="5"/>
  <c r="P42" i="5"/>
  <c r="E43" i="5"/>
  <c r="F43" i="5"/>
  <c r="I43" i="5"/>
  <c r="L43" i="5"/>
  <c r="N43" i="5"/>
  <c r="P43" i="5"/>
  <c r="G43" i="5" s="1"/>
  <c r="E44" i="5"/>
  <c r="F44" i="5"/>
  <c r="I44" i="5"/>
  <c r="L44" i="5"/>
  <c r="N44" i="5"/>
  <c r="P44" i="5"/>
  <c r="E45" i="5"/>
  <c r="F45" i="5"/>
  <c r="I45" i="5"/>
  <c r="L45" i="5"/>
  <c r="N45" i="5"/>
  <c r="P45" i="5"/>
  <c r="G45" i="5" s="1"/>
  <c r="E46" i="5"/>
  <c r="F46" i="5"/>
  <c r="I46" i="5"/>
  <c r="L46" i="5"/>
  <c r="N46" i="5"/>
  <c r="P46" i="5"/>
  <c r="E47" i="5"/>
  <c r="F47" i="5"/>
  <c r="I47" i="5"/>
  <c r="L47" i="5"/>
  <c r="N47" i="5"/>
  <c r="P47" i="5"/>
  <c r="G47" i="5" s="1"/>
  <c r="E48" i="5"/>
  <c r="F48" i="5"/>
  <c r="I48" i="5"/>
  <c r="L48" i="5"/>
  <c r="N48" i="5"/>
  <c r="P48" i="5"/>
  <c r="E49" i="5"/>
  <c r="F49" i="5"/>
  <c r="I49" i="5"/>
  <c r="L49" i="5"/>
  <c r="N49" i="5"/>
  <c r="P49" i="5"/>
  <c r="G49" i="5" s="1"/>
  <c r="E50" i="5"/>
  <c r="F50" i="5"/>
  <c r="I50" i="5"/>
  <c r="L50" i="5"/>
  <c r="N50" i="5"/>
  <c r="P50" i="5"/>
  <c r="E51" i="5"/>
  <c r="F51" i="5"/>
  <c r="I51" i="5"/>
  <c r="L51" i="5"/>
  <c r="N51" i="5"/>
  <c r="P51" i="5"/>
  <c r="G51" i="5" s="1"/>
  <c r="E52" i="5"/>
  <c r="F52" i="5"/>
  <c r="I52" i="5"/>
  <c r="L52" i="5"/>
  <c r="N52" i="5"/>
  <c r="P52" i="5"/>
  <c r="E53" i="5"/>
  <c r="F53" i="5"/>
  <c r="I53" i="5"/>
  <c r="L53" i="5"/>
  <c r="N53" i="5"/>
  <c r="P53" i="5"/>
  <c r="E54" i="5"/>
  <c r="F54" i="5"/>
  <c r="I54" i="5"/>
  <c r="L54" i="5"/>
  <c r="N54" i="5"/>
  <c r="P54" i="5"/>
  <c r="E55" i="5"/>
  <c r="F55" i="5"/>
  <c r="I55" i="5"/>
  <c r="L55" i="5"/>
  <c r="N55" i="5"/>
  <c r="P55" i="5"/>
  <c r="G55" i="5" s="1"/>
  <c r="E56" i="5"/>
  <c r="F56" i="5"/>
  <c r="I56" i="5"/>
  <c r="L56" i="5"/>
  <c r="N56" i="5"/>
  <c r="P56" i="5"/>
  <c r="E57" i="5"/>
  <c r="F57" i="5"/>
  <c r="I57" i="5"/>
  <c r="L57" i="5"/>
  <c r="N57" i="5"/>
  <c r="P57" i="5"/>
  <c r="E58" i="5"/>
  <c r="F58" i="5"/>
  <c r="I58" i="5"/>
  <c r="L58" i="5"/>
  <c r="N58" i="5"/>
  <c r="P58" i="5"/>
  <c r="E59" i="5"/>
  <c r="F59" i="5"/>
  <c r="I59" i="5"/>
  <c r="L59" i="5"/>
  <c r="N59" i="5"/>
  <c r="P59" i="5"/>
  <c r="G59" i="5" s="1"/>
  <c r="E60" i="5"/>
  <c r="F60" i="5"/>
  <c r="I60" i="5"/>
  <c r="L60" i="5"/>
  <c r="N60" i="5"/>
  <c r="P60" i="5"/>
  <c r="E61" i="5"/>
  <c r="F61" i="5"/>
  <c r="I61" i="5"/>
  <c r="L61" i="5"/>
  <c r="N61" i="5"/>
  <c r="P61" i="5"/>
  <c r="E62" i="5"/>
  <c r="F62" i="5"/>
  <c r="I62" i="5"/>
  <c r="L62" i="5"/>
  <c r="N62" i="5"/>
  <c r="P62" i="5"/>
  <c r="E63" i="5"/>
  <c r="F63" i="5"/>
  <c r="I63" i="5"/>
  <c r="L63" i="5"/>
  <c r="N63" i="5"/>
  <c r="P63" i="5"/>
  <c r="G63" i="5" s="1"/>
  <c r="E64" i="5"/>
  <c r="F64" i="5"/>
  <c r="I64" i="5"/>
  <c r="L64" i="5"/>
  <c r="N64" i="5"/>
  <c r="P64" i="5"/>
  <c r="E65" i="5"/>
  <c r="F65" i="5"/>
  <c r="I65" i="5"/>
  <c r="L65" i="5"/>
  <c r="N65" i="5"/>
  <c r="P65" i="5"/>
  <c r="E66" i="5"/>
  <c r="F66" i="5"/>
  <c r="I66" i="5"/>
  <c r="L66" i="5"/>
  <c r="N66" i="5"/>
  <c r="P66" i="5"/>
  <c r="E67" i="5"/>
  <c r="F67" i="5"/>
  <c r="I67" i="5"/>
  <c r="L67" i="5"/>
  <c r="N67" i="5"/>
  <c r="P67" i="5"/>
  <c r="G67" i="5" s="1"/>
  <c r="E68" i="5"/>
  <c r="F68" i="5"/>
  <c r="I68" i="5"/>
  <c r="L68" i="5"/>
  <c r="N68" i="5"/>
  <c r="P68" i="5"/>
  <c r="E69" i="5"/>
  <c r="F69" i="5"/>
  <c r="I69" i="5"/>
  <c r="L69" i="5"/>
  <c r="N69" i="5"/>
  <c r="P69" i="5"/>
  <c r="G69" i="5" s="1"/>
  <c r="E70" i="5"/>
  <c r="F70" i="5"/>
  <c r="I70" i="5"/>
  <c r="L70" i="5"/>
  <c r="N70" i="5"/>
  <c r="P70" i="5"/>
  <c r="E71" i="5"/>
  <c r="F71" i="5"/>
  <c r="I71" i="5"/>
  <c r="L71" i="5"/>
  <c r="N71" i="5"/>
  <c r="P71" i="5"/>
  <c r="G71" i="5" s="1"/>
  <c r="E72" i="5"/>
  <c r="F72" i="5"/>
  <c r="I72" i="5"/>
  <c r="L72" i="5"/>
  <c r="N72" i="5"/>
  <c r="P72" i="5"/>
  <c r="E73" i="5"/>
  <c r="F73" i="5"/>
  <c r="I73" i="5"/>
  <c r="L73" i="5"/>
  <c r="N73" i="5"/>
  <c r="P73" i="5"/>
  <c r="G73" i="5" s="1"/>
  <c r="E74" i="5"/>
  <c r="F74" i="5"/>
  <c r="I74" i="5"/>
  <c r="L74" i="5"/>
  <c r="N74" i="5"/>
  <c r="P74" i="5"/>
  <c r="E75" i="5"/>
  <c r="F75" i="5"/>
  <c r="I75" i="5"/>
  <c r="L75" i="5"/>
  <c r="N75" i="5"/>
  <c r="P75" i="5"/>
  <c r="G75" i="5" s="1"/>
  <c r="E76" i="5"/>
  <c r="F76" i="5"/>
  <c r="I76" i="5"/>
  <c r="L76" i="5"/>
  <c r="N76" i="5"/>
  <c r="P76" i="5"/>
  <c r="E77" i="5"/>
  <c r="F77" i="5"/>
  <c r="I77" i="5"/>
  <c r="L77" i="5"/>
  <c r="N77" i="5"/>
  <c r="P77" i="5"/>
  <c r="G77" i="5" s="1"/>
  <c r="E78" i="5"/>
  <c r="F78" i="5"/>
  <c r="I78" i="5"/>
  <c r="L78" i="5"/>
  <c r="N78" i="5"/>
  <c r="P78" i="5"/>
  <c r="E79" i="5"/>
  <c r="F79" i="5"/>
  <c r="I79" i="5"/>
  <c r="L79" i="5"/>
  <c r="N79" i="5"/>
  <c r="P79" i="5"/>
  <c r="G79" i="5" s="1"/>
  <c r="E6" i="2"/>
  <c r="B6" i="2" s="1"/>
  <c r="B26" i="2"/>
  <c r="E30" i="2"/>
  <c r="E31" i="2"/>
  <c r="E32" i="2"/>
  <c r="H66" i="9" l="1"/>
  <c r="H42" i="9"/>
  <c r="H40" i="9"/>
  <c r="G65" i="5"/>
  <c r="G61" i="5"/>
  <c r="H70" i="9"/>
  <c r="B31" i="12"/>
  <c r="B37" i="12"/>
  <c r="B33" i="12"/>
  <c r="B55" i="12"/>
  <c r="B19" i="12"/>
  <c r="B57" i="12"/>
  <c r="B15" i="12"/>
  <c r="H76" i="9"/>
  <c r="E44" i="13"/>
  <c r="B74" i="11" s="1"/>
  <c r="B53" i="12"/>
  <c r="B49" i="12"/>
  <c r="B29" i="12"/>
  <c r="B25" i="12"/>
  <c r="G31" i="5"/>
  <c r="G27" i="5"/>
  <c r="G23" i="5"/>
  <c r="G19" i="5"/>
  <c r="G15" i="5"/>
  <c r="G11" i="5"/>
  <c r="B13" i="12"/>
  <c r="K80" i="10"/>
  <c r="I80" i="10"/>
  <c r="E47" i="13"/>
  <c r="B77" i="11" s="1"/>
  <c r="B43" i="12"/>
  <c r="B39" i="12"/>
  <c r="H8" i="1"/>
  <c r="H10" i="1"/>
  <c r="E45" i="13"/>
  <c r="B75" i="11" s="1"/>
  <c r="C71" i="11"/>
  <c r="B47" i="12"/>
  <c r="B35" i="12"/>
  <c r="H16" i="1"/>
  <c r="H50" i="9"/>
  <c r="H47" i="9"/>
  <c r="L34" i="13"/>
  <c r="B27" i="12"/>
  <c r="P25" i="23"/>
  <c r="B42" i="12"/>
  <c r="H72" i="9"/>
  <c r="L44" i="13"/>
  <c r="C74" i="11" s="1"/>
  <c r="B45" i="12"/>
  <c r="B41" i="12"/>
  <c r="B23" i="12"/>
  <c r="B11" i="12"/>
  <c r="M22" i="23"/>
  <c r="L36" i="13"/>
  <c r="E32" i="13"/>
  <c r="H60" i="9"/>
  <c r="H52" i="9"/>
  <c r="B39" i="13"/>
  <c r="B51" i="12"/>
  <c r="B21" i="12"/>
  <c r="B17" i="12"/>
  <c r="X18" i="1"/>
  <c r="F18" i="1" s="1"/>
  <c r="H14" i="1"/>
  <c r="H12" i="1"/>
  <c r="H77" i="9"/>
  <c r="H73" i="9"/>
  <c r="H62" i="9"/>
  <c r="H54" i="9"/>
  <c r="H49" i="9"/>
  <c r="H45" i="9"/>
  <c r="E31" i="13"/>
  <c r="B31" i="13" s="1"/>
  <c r="O22" i="23"/>
  <c r="B50" i="12"/>
  <c r="G22" i="23"/>
  <c r="B18" i="12"/>
  <c r="H63" i="9"/>
  <c r="B26" i="12"/>
  <c r="I22" i="23"/>
  <c r="G78" i="5"/>
  <c r="G76" i="5"/>
  <c r="G74" i="5"/>
  <c r="G72" i="5"/>
  <c r="G70" i="5"/>
  <c r="G68" i="5"/>
  <c r="G66" i="5"/>
  <c r="G64" i="5"/>
  <c r="G62" i="5"/>
  <c r="G60" i="5"/>
  <c r="G58" i="5"/>
  <c r="G56" i="5"/>
  <c r="G54" i="5"/>
  <c r="G52" i="5"/>
  <c r="G50" i="5"/>
  <c r="G48" i="5"/>
  <c r="G46" i="5"/>
  <c r="G44" i="5"/>
  <c r="G42" i="5"/>
  <c r="H75" i="9"/>
  <c r="B70" i="11"/>
  <c r="B40" i="13"/>
  <c r="K22" i="23"/>
  <c r="B34" i="12"/>
  <c r="E48" i="13"/>
  <c r="B78" i="11" s="1"/>
  <c r="L43" i="13"/>
  <c r="C73" i="11" s="1"/>
  <c r="C36" i="13"/>
  <c r="L30" i="13"/>
  <c r="C30" i="13" s="1"/>
  <c r="L29" i="13"/>
  <c r="H55" i="9"/>
  <c r="H46" i="9"/>
  <c r="H41" i="9"/>
  <c r="L48" i="13"/>
  <c r="C78" i="11" s="1"/>
  <c r="L47" i="13"/>
  <c r="C47" i="13" s="1"/>
  <c r="L45" i="13"/>
  <c r="C75" i="11" s="1"/>
  <c r="E42" i="13"/>
  <c r="B72" i="11" s="1"/>
  <c r="E37" i="13"/>
  <c r="B37" i="13" s="1"/>
  <c r="E35" i="13"/>
  <c r="E33" i="13"/>
  <c r="B33" i="13" s="1"/>
  <c r="B54" i="12"/>
  <c r="B52" i="12"/>
  <c r="B46" i="12"/>
  <c r="B38" i="12"/>
  <c r="B36" i="12"/>
  <c r="B30" i="12"/>
  <c r="B22" i="12"/>
  <c r="B20" i="12"/>
  <c r="B14" i="12"/>
  <c r="C49" i="13"/>
  <c r="C79" i="11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" i="5"/>
  <c r="G12" i="5"/>
  <c r="G10" i="5"/>
  <c r="H74" i="9"/>
  <c r="H65" i="9"/>
  <c r="H61" i="9"/>
  <c r="H58" i="9"/>
  <c r="H57" i="9"/>
  <c r="H53" i="9"/>
  <c r="H48" i="9"/>
  <c r="H44" i="9"/>
  <c r="H39" i="9"/>
  <c r="E43" i="13"/>
  <c r="B73" i="11" s="1"/>
  <c r="C42" i="13"/>
  <c r="B35" i="13"/>
  <c r="L31" i="13"/>
  <c r="C31" i="13" s="1"/>
  <c r="E30" i="13"/>
  <c r="B30" i="13" s="1"/>
  <c r="E28" i="13"/>
  <c r="B28" i="13" s="1"/>
  <c r="B49" i="13"/>
  <c r="B79" i="11"/>
  <c r="AE19" i="1"/>
  <c r="H18" i="1"/>
  <c r="H17" i="1"/>
  <c r="H13" i="1"/>
  <c r="H9" i="1"/>
  <c r="S19" i="1"/>
  <c r="L19" i="1"/>
  <c r="B19" i="1" s="1"/>
  <c r="AA19" i="1"/>
  <c r="H15" i="1"/>
  <c r="H11" i="1"/>
  <c r="H7" i="1"/>
  <c r="C19" i="1"/>
  <c r="E18" i="2"/>
  <c r="D17" i="2"/>
  <c r="J84" i="10"/>
  <c r="J82" i="10"/>
  <c r="J80" i="10"/>
  <c r="J78" i="10"/>
  <c r="J76" i="10"/>
  <c r="J83" i="10"/>
  <c r="J81" i="10"/>
  <c r="J79" i="10"/>
  <c r="J77" i="10"/>
  <c r="B31" i="2"/>
  <c r="B30" i="2"/>
  <c r="B32" i="2"/>
  <c r="E28" i="2"/>
  <c r="B28" i="2" s="1"/>
  <c r="I84" i="10"/>
  <c r="I83" i="10"/>
  <c r="I82" i="10"/>
  <c r="I81" i="10"/>
  <c r="I79" i="10"/>
  <c r="I78" i="10"/>
  <c r="I77" i="10"/>
  <c r="I76" i="10"/>
  <c r="B19" i="2"/>
  <c r="E8" i="2"/>
  <c r="B8" i="2" s="1"/>
  <c r="C70" i="11"/>
  <c r="C40" i="13"/>
  <c r="I24" i="23"/>
  <c r="B28" i="12"/>
  <c r="E29" i="2"/>
  <c r="H71" i="9"/>
  <c r="H59" i="9"/>
  <c r="H51" i="9"/>
  <c r="H43" i="9"/>
  <c r="E46" i="13"/>
  <c r="B76" i="11" s="1"/>
  <c r="B45" i="13"/>
  <c r="L37" i="13"/>
  <c r="C37" i="13" s="1"/>
  <c r="E36" i="13"/>
  <c r="B36" i="13" s="1"/>
  <c r="C34" i="13"/>
  <c r="E29" i="13"/>
  <c r="B29" i="13" s="1"/>
  <c r="G24" i="23"/>
  <c r="C29" i="13"/>
  <c r="M24" i="23"/>
  <c r="B44" i="12"/>
  <c r="E24" i="23"/>
  <c r="B12" i="12"/>
  <c r="K24" i="23"/>
  <c r="E10" i="2"/>
  <c r="E12" i="2"/>
  <c r="B12" i="2" s="1"/>
  <c r="G53" i="5"/>
  <c r="G37" i="5"/>
  <c r="G21" i="5"/>
  <c r="C48" i="13"/>
  <c r="B47" i="13"/>
  <c r="L46" i="13"/>
  <c r="C76" i="11" s="1"/>
  <c r="B42" i="13"/>
  <c r="E41" i="13"/>
  <c r="B71" i="11" s="1"/>
  <c r="L35" i="13"/>
  <c r="C35" i="13" s="1"/>
  <c r="E34" i="13"/>
  <c r="B34" i="13" s="1"/>
  <c r="L28" i="13"/>
  <c r="C28" i="13" s="1"/>
  <c r="C69" i="11"/>
  <c r="P24" i="23"/>
  <c r="B56" i="12"/>
  <c r="N24" i="23"/>
  <c r="B48" i="12"/>
  <c r="L24" i="23"/>
  <c r="B40" i="12"/>
  <c r="J24" i="23"/>
  <c r="B32" i="12"/>
  <c r="H24" i="23"/>
  <c r="B24" i="12"/>
  <c r="F24" i="23"/>
  <c r="B16" i="12"/>
  <c r="E14" i="2"/>
  <c r="E16" i="2" s="1"/>
  <c r="B16" i="2" s="1"/>
  <c r="G57" i="5"/>
  <c r="G41" i="5"/>
  <c r="G25" i="5"/>
  <c r="G9" i="5"/>
  <c r="C44" i="13"/>
  <c r="B44" i="13"/>
  <c r="L33" i="13"/>
  <c r="C33" i="13" s="1"/>
  <c r="B32" i="13"/>
  <c r="O24" i="23"/>
  <c r="P19" i="1"/>
  <c r="D19" i="1" s="1"/>
  <c r="V19" i="1"/>
  <c r="X17" i="1"/>
  <c r="X16" i="1"/>
  <c r="X15" i="1"/>
  <c r="X14" i="1"/>
  <c r="X13" i="1"/>
  <c r="X12" i="1"/>
  <c r="X11" i="1"/>
  <c r="X10" i="1"/>
  <c r="X9" i="1"/>
  <c r="X8" i="1"/>
  <c r="X7" i="1"/>
  <c r="E7" i="1" s="1"/>
  <c r="E18" i="1" l="1"/>
  <c r="Z18" i="1"/>
  <c r="G18" i="1" s="1"/>
  <c r="E38" i="2"/>
  <c r="E36" i="2"/>
  <c r="E34" i="2"/>
  <c r="B48" i="13"/>
  <c r="B41" i="13"/>
  <c r="C45" i="13"/>
  <c r="C77" i="11"/>
  <c r="H19" i="1"/>
  <c r="B43" i="13"/>
  <c r="C43" i="13"/>
  <c r="B18" i="2"/>
  <c r="E23" i="2"/>
  <c r="B23" i="2" s="1"/>
  <c r="E21" i="2"/>
  <c r="B21" i="2" s="1"/>
  <c r="E25" i="2"/>
  <c r="B25" i="2" s="1"/>
  <c r="X19" i="1"/>
  <c r="F7" i="1"/>
  <c r="Z7" i="1"/>
  <c r="G7" i="1" s="1"/>
  <c r="E11" i="1"/>
  <c r="F11" i="1"/>
  <c r="Z11" i="1"/>
  <c r="G11" i="1" s="1"/>
  <c r="E15" i="1"/>
  <c r="F15" i="1"/>
  <c r="Z15" i="1"/>
  <c r="G15" i="1" s="1"/>
  <c r="E8" i="1"/>
  <c r="F8" i="1"/>
  <c r="Z8" i="1"/>
  <c r="G8" i="1" s="1"/>
  <c r="E12" i="1"/>
  <c r="F12" i="1"/>
  <c r="Z12" i="1"/>
  <c r="G12" i="1" s="1"/>
  <c r="E16" i="1"/>
  <c r="F16" i="1"/>
  <c r="Z16" i="1"/>
  <c r="G16" i="1" s="1"/>
  <c r="E9" i="1"/>
  <c r="F9" i="1"/>
  <c r="Z9" i="1"/>
  <c r="G9" i="1" s="1"/>
  <c r="E13" i="1"/>
  <c r="F13" i="1"/>
  <c r="Z13" i="1"/>
  <c r="G13" i="1" s="1"/>
  <c r="E17" i="1"/>
  <c r="F17" i="1"/>
  <c r="Z17" i="1"/>
  <c r="G17" i="1" s="1"/>
  <c r="I19" i="1"/>
  <c r="B29" i="2"/>
  <c r="E10" i="1"/>
  <c r="F10" i="1"/>
  <c r="Z10" i="1"/>
  <c r="G10" i="1" s="1"/>
  <c r="E14" i="1"/>
  <c r="F14" i="1"/>
  <c r="Z14" i="1"/>
  <c r="G14" i="1" s="1"/>
  <c r="C46" i="13"/>
  <c r="B46" i="13"/>
  <c r="B14" i="2"/>
  <c r="E17" i="2" l="1"/>
  <c r="B17" i="2" s="1"/>
  <c r="Z19" i="1"/>
  <c r="G19" i="1" s="1"/>
  <c r="F19" i="1"/>
  <c r="E19" i="1"/>
</calcChain>
</file>

<file path=xl/sharedStrings.xml><?xml version="1.0" encoding="utf-8"?>
<sst xmlns="http://schemas.openxmlformats.org/spreadsheetml/2006/main" count="968" uniqueCount="383">
  <si>
    <t>Oslo</t>
  </si>
  <si>
    <t>Rogaland</t>
  </si>
  <si>
    <t>Møre og Romsdal</t>
  </si>
  <si>
    <t>Nordland</t>
  </si>
  <si>
    <t>Antall innbyggere</t>
  </si>
  <si>
    <t>fastlegeordningen</t>
  </si>
  <si>
    <t>i fastlegeordningen</t>
  </si>
  <si>
    <t>som ikke deltar i</t>
  </si>
  <si>
    <t>liste, men som deltar</t>
  </si>
  <si>
    <t>Hele landet</t>
  </si>
  <si>
    <t>Antall</t>
  </si>
  <si>
    <t>åpne</t>
  </si>
  <si>
    <t>lister</t>
  </si>
  <si>
    <t>Antall åpne</t>
  </si>
  <si>
    <t>som har plass</t>
  </si>
  <si>
    <t>som ikke har plass på</t>
  </si>
  <si>
    <t>Antall deltakere</t>
  </si>
  <si>
    <t>i</t>
  </si>
  <si>
    <t>fastlegepraksiser</t>
  </si>
  <si>
    <t>siste kvartal</t>
  </si>
  <si>
    <t>legebytter</t>
  </si>
  <si>
    <t>kvartal</t>
  </si>
  <si>
    <t>Antall lister</t>
  </si>
  <si>
    <t>listeplasser</t>
  </si>
  <si>
    <t>ledige</t>
  </si>
  <si>
    <t>årsaker</t>
  </si>
  <si>
    <t>etter eget</t>
  </si>
  <si>
    <t>ønske siste</t>
  </si>
  <si>
    <t>ii) Se fotnote i) til tabell 1.</t>
  </si>
  <si>
    <r>
      <t>fastlegeordningen</t>
    </r>
    <r>
      <rPr>
        <vertAlign val="superscript"/>
        <sz val="10"/>
        <rFont val="Arial"/>
        <family val="2"/>
      </rPr>
      <t>ii)</t>
    </r>
  </si>
  <si>
    <t>Ordinære</t>
  </si>
  <si>
    <t>fastleger</t>
  </si>
  <si>
    <t>fastlege-</t>
  </si>
  <si>
    <t>Mannlige</t>
  </si>
  <si>
    <t>Kvinnelige</t>
  </si>
  <si>
    <t>leger</t>
  </si>
  <si>
    <r>
      <t>12.01.2001</t>
    </r>
    <r>
      <rPr>
        <vertAlign val="superscript"/>
        <sz val="10"/>
        <rFont val="Arial"/>
        <family val="2"/>
      </rPr>
      <t>i)</t>
    </r>
  </si>
  <si>
    <t>iv)</t>
  </si>
  <si>
    <t>i) Opprettelsen av fastlegeregisteret.</t>
  </si>
  <si>
    <t>v)</t>
  </si>
  <si>
    <t xml:space="preserve">Gjennomsnittlig </t>
  </si>
  <si>
    <t>antall innbyggere</t>
  </si>
  <si>
    <t>på lister</t>
  </si>
  <si>
    <t>innbyggere</t>
  </si>
  <si>
    <t>på liste hos</t>
  </si>
  <si>
    <t>fastlege</t>
  </si>
  <si>
    <t>med listeplass</t>
  </si>
  <si>
    <t>hos fastlege</t>
  </si>
  <si>
    <t>med plass på</t>
  </si>
  <si>
    <r>
      <t>14.05.2001</t>
    </r>
    <r>
      <rPr>
        <vertAlign val="superscript"/>
        <sz val="10"/>
        <rFont val="Arial"/>
        <family val="2"/>
      </rPr>
      <t>i)</t>
    </r>
  </si>
  <si>
    <t>i) Første gangs fordeling.</t>
  </si>
  <si>
    <t>uten</t>
  </si>
  <si>
    <t>listeplass</t>
  </si>
  <si>
    <t>som ikke deltar</t>
  </si>
  <si>
    <t>i fastlege-</t>
  </si>
  <si>
    <t>ordningen</t>
  </si>
  <si>
    <t>kvinnelige</t>
  </si>
  <si>
    <t>felleslister</t>
  </si>
  <si>
    <t>og eldre</t>
  </si>
  <si>
    <t>mannlig lege</t>
  </si>
  <si>
    <t>fastlege,</t>
  </si>
  <si>
    <t>kvinnelig lege</t>
  </si>
  <si>
    <t>Andel kvinnelige fastleger</t>
  </si>
  <si>
    <t>Andel fastleger 20-29 år</t>
  </si>
  <si>
    <t>Andel fastleger 30-39 år</t>
  </si>
  <si>
    <t>Andel fastleger 40-54 år</t>
  </si>
  <si>
    <t>Andel fastleger 55-66 år</t>
  </si>
  <si>
    <t>Andel fastleger 67 år og eldre</t>
  </si>
  <si>
    <t>Teller</t>
  </si>
  <si>
    <t>Nevner</t>
  </si>
  <si>
    <t>20-29 år</t>
  </si>
  <si>
    <t>67 år</t>
  </si>
  <si>
    <t>30-39 år</t>
  </si>
  <si>
    <t>40-54 år</t>
  </si>
  <si>
    <t>55-66 år</t>
  </si>
  <si>
    <t>mannlige</t>
  </si>
  <si>
    <t>Tabell 5 Utviklingen i fastlegenes fordeling etter kjønn og alder</t>
  </si>
  <si>
    <t>Antall ledige</t>
  </si>
  <si>
    <t>plasser på</t>
  </si>
  <si>
    <t>fastlegeavtaler</t>
  </si>
  <si>
    <t>som har vært</t>
  </si>
  <si>
    <t>med fastlønn</t>
  </si>
  <si>
    <t>medisin</t>
  </si>
  <si>
    <t>i allmenn-</t>
  </si>
  <si>
    <t>i samfunns-</t>
  </si>
  <si>
    <t>spesialiteter</t>
  </si>
  <si>
    <t>betjent av</t>
  </si>
  <si>
    <t>vikarer i løpet</t>
  </si>
  <si>
    <t>spesialist</t>
  </si>
  <si>
    <t>som er</t>
  </si>
  <si>
    <t>begge</t>
  </si>
  <si>
    <t>som har</t>
  </si>
  <si>
    <t>Tabell 9 Antall fastlegebytter per kvartal</t>
  </si>
  <si>
    <r>
      <t>Andel</t>
    </r>
    <r>
      <rPr>
        <vertAlign val="superscript"/>
        <sz val="10"/>
        <rFont val="Arial"/>
        <family val="2"/>
      </rPr>
      <t>ii)</t>
    </r>
    <r>
      <rPr>
        <sz val="10"/>
        <rFont val="Arial"/>
        <family val="2"/>
      </rPr>
      <t xml:space="preserve"> legebytter etter innbyggerens</t>
    </r>
  </si>
  <si>
    <t xml:space="preserve"> fastlønn</t>
  </si>
  <si>
    <t>deltakere i</t>
  </si>
  <si>
    <t>i alt</t>
  </si>
  <si>
    <t>fastlegeordningen og antall innbyggere som har reservert seg mot å delta. Dette avviker</t>
  </si>
  <si>
    <t>i) Befolkningen er her definert som summen av antall innbyggere som deltar i</t>
  </si>
  <si>
    <t>fra tallene i SSBs befolkningsstatistikk bl.a. fordi også asylsøkere og deres familier har</t>
  </si>
  <si>
    <t>rett til fastlege.</t>
  </si>
  <si>
    <t>ii)</t>
  </si>
  <si>
    <r>
      <t>21.03.2001</t>
    </r>
    <r>
      <rPr>
        <vertAlign val="superscript"/>
        <sz val="10"/>
        <rFont val="Arial"/>
        <family val="2"/>
      </rPr>
      <t>iii)</t>
    </r>
  </si>
  <si>
    <r>
      <t>14.05.2001</t>
    </r>
    <r>
      <rPr>
        <vertAlign val="superscript"/>
        <sz val="10"/>
        <rFont val="Arial"/>
        <family val="2"/>
      </rPr>
      <t>iv)</t>
    </r>
  </si>
  <si>
    <t>iii) Det reviderte fastlegeregisteret som ble benyttet ved første gangs fordeling.</t>
  </si>
  <si>
    <t>iv) Første gangs fordeling.</t>
  </si>
  <si>
    <t>v) Sammenlignbare tall er ikke tilgjengelig.</t>
  </si>
  <si>
    <t>iii)</t>
  </si>
  <si>
    <r>
      <t>14.05.2001</t>
    </r>
    <r>
      <rPr>
        <vertAlign val="superscript"/>
        <sz val="10"/>
        <rFont val="Arial"/>
        <family val="2"/>
      </rPr>
      <t>v)</t>
    </r>
  </si>
  <si>
    <t>ii) Sammenlignbare tall er ikke tilgjengelig.</t>
  </si>
  <si>
    <t>v) Første gangs fordeling.</t>
  </si>
  <si>
    <t>(inkl. lister</t>
  </si>
  <si>
    <r>
      <t>Andel</t>
    </r>
    <r>
      <rPr>
        <vertAlign val="superscript"/>
        <sz val="10"/>
        <rFont val="Arial"/>
        <family val="2"/>
      </rPr>
      <t>i)</t>
    </r>
    <r>
      <rPr>
        <sz val="10"/>
        <rFont val="Arial"/>
        <family val="2"/>
      </rPr>
      <t xml:space="preserve"> ledige</t>
    </r>
  </si>
  <si>
    <t>Andel av</t>
  </si>
  <si>
    <t>deltakerne som</t>
  </si>
  <si>
    <t>befolkningen</t>
  </si>
  <si>
    <t>ønske</t>
  </si>
  <si>
    <t>pga. avsluttet/</t>
  </si>
  <si>
    <t>redusert praksis</t>
  </si>
  <si>
    <t>praksis</t>
  </si>
  <si>
    <t>redusert</t>
  </si>
  <si>
    <t>som er del av</t>
  </si>
  <si>
    <t>iv) Sammenlignbare tall er ikke tilgjengelig.</t>
  </si>
  <si>
    <t>ii) Ingen fordeling var foretatt på dette tidspunkt.</t>
  </si>
  <si>
    <t>Tabell 8 Tilgang og avgang av fastleger og deltakere per kvartal</t>
  </si>
  <si>
    <t>avsluttede</t>
  </si>
  <si>
    <t>Antall nye</t>
  </si>
  <si>
    <t>seg ut av</t>
  </si>
  <si>
    <t>listeplassen</t>
  </si>
  <si>
    <t>uten å få en ny</t>
  </si>
  <si>
    <t>3. kvartal 2001</t>
  </si>
  <si>
    <t>4. kvartal 2001</t>
  </si>
  <si>
    <t>1. kvartal 2002</t>
  </si>
  <si>
    <t>2. kvartal 2002</t>
  </si>
  <si>
    <t>3. kvartal 2002</t>
  </si>
  <si>
    <t>4. kvartal 2002</t>
  </si>
  <si>
    <t>1. kvartal 2003</t>
  </si>
  <si>
    <t>2. kvartal 2003</t>
  </si>
  <si>
    <t>Redusert</t>
  </si>
  <si>
    <t>Avsluttet</t>
  </si>
  <si>
    <t>Avsluttede fastlegeavtaler</t>
  </si>
  <si>
    <t>I alt</t>
  </si>
  <si>
    <t>67-74 år</t>
  </si>
  <si>
    <t>Andel</t>
  </si>
  <si>
    <t>lister i alt</t>
  </si>
  <si>
    <t>Tabell 1 Nøkkeltall for fastlegeordningen. Prosentvis andel der ikke annet er oppgitt</t>
  </si>
  <si>
    <t>Andel av deltakerne som har plass på</t>
  </si>
  <si>
    <t xml:space="preserve"> liste hos fastlege</t>
  </si>
  <si>
    <t>Andel av deltakerne som ikke har</t>
  </si>
  <si>
    <t xml:space="preserve"> plass på liste</t>
  </si>
  <si>
    <t xml:space="preserve"> eget ønske siste kvartal</t>
  </si>
  <si>
    <t xml:space="preserve"> allmennmedisin</t>
  </si>
  <si>
    <t xml:space="preserve"> samfunnsmedisin</t>
  </si>
  <si>
    <t xml:space="preserve"> spesialiteter</t>
  </si>
  <si>
    <t xml:space="preserve"> redusert praksis siste kvartal</t>
  </si>
  <si>
    <t xml:space="preserve"> av felleslister</t>
  </si>
  <si>
    <t xml:space="preserve"> vært betjent av vikar siste kvartal</t>
  </si>
  <si>
    <t xml:space="preserve"> ønsker å delta i fastlegeordningen</t>
  </si>
  <si>
    <r>
      <t>Andel av befolkningen</t>
    </r>
    <r>
      <rPr>
        <vertAlign val="superscript"/>
        <sz val="10"/>
        <rFont val="Arial"/>
        <family val="2"/>
      </rPr>
      <t>i)</t>
    </r>
    <r>
      <rPr>
        <sz val="10"/>
        <rFont val="Arial"/>
        <family val="2"/>
      </rPr>
      <t xml:space="preserve"> som ikke</t>
    </r>
  </si>
  <si>
    <t>Totalt</t>
  </si>
  <si>
    <t>innbyggere per fastlegeliste</t>
  </si>
  <si>
    <t>Gjennomsnittlig antall</t>
  </si>
  <si>
    <t>iii) Fastlegeordningen var ikke iverksatt på dette tidspunkt.</t>
  </si>
  <si>
    <t>av kvartalet</t>
  </si>
  <si>
    <t>Tabell 7 Utviklingen i antall innbyggere med listeplass mv.</t>
  </si>
  <si>
    <t>deltakere</t>
  </si>
  <si>
    <t>antall</t>
  </si>
  <si>
    <t>bytter</t>
  </si>
  <si>
    <t>flytting</t>
  </si>
  <si>
    <t>Antall bytter etter innbyggerens eget ønske</t>
  </si>
  <si>
    <t>ikke har plass</t>
  </si>
  <si>
    <t>på liste</t>
  </si>
  <si>
    <t>bosatte i Norge, men uten fast bopel.</t>
  </si>
  <si>
    <t>3. kvartal 2003</t>
  </si>
  <si>
    <t>4. kvartal 2003</t>
  </si>
  <si>
    <t>Bostedsfylke</t>
  </si>
  <si>
    <t>Antall "innbyggere</t>
  </si>
  <si>
    <t>i alt"</t>
  </si>
  <si>
    <t>MERK:</t>
  </si>
  <si>
    <t>Avsluttede</t>
  </si>
  <si>
    <t>1. kvartal 2004</t>
  </si>
  <si>
    <t>2. kvartal 2004</t>
  </si>
  <si>
    <t>3. kvartal 2004</t>
  </si>
  <si>
    <t>som mistet</t>
  </si>
  <si>
    <t>som meldte</t>
  </si>
  <si>
    <t>seg inn i</t>
  </si>
  <si>
    <t>Andel åpne</t>
  </si>
  <si>
    <t>4. kvartal 2004</t>
  </si>
  <si>
    <t>1. kvartal 2005</t>
  </si>
  <si>
    <t>2. kvartal 2005</t>
  </si>
  <si>
    <t>3. kvartal 2005</t>
  </si>
  <si>
    <t>4. kvartal 2005</t>
  </si>
  <si>
    <t>til ny</t>
  </si>
  <si>
    <t>kommune</t>
  </si>
  <si>
    <t>etter</t>
  </si>
  <si>
    <t>tildeling</t>
  </si>
  <si>
    <r>
      <t>Andel</t>
    </r>
    <r>
      <rPr>
        <vertAlign val="superscript"/>
        <sz val="10"/>
        <rFont val="Arial"/>
        <family val="2"/>
      </rPr>
      <t>ii)</t>
    </r>
    <r>
      <rPr>
        <sz val="10"/>
        <rFont val="Arial"/>
        <family val="2"/>
      </rPr>
      <t xml:space="preserve"> tildelte legebytter pga. avsluttet/</t>
    </r>
  </si>
  <si>
    <t>Bytter pga</t>
  </si>
  <si>
    <t>Nye bytter</t>
  </si>
  <si>
    <t>etter tildeling</t>
  </si>
  <si>
    <t>pga avsluttet</t>
  </si>
  <si>
    <t>pga redusert</t>
  </si>
  <si>
    <t>Andel av fastlegepraksisene som har</t>
  </si>
  <si>
    <t>Andel av fastlegepraksisene som er del</t>
  </si>
  <si>
    <t>praksiser</t>
  </si>
  <si>
    <t>praksiser,</t>
  </si>
  <si>
    <t>på listene</t>
  </si>
  <si>
    <t>listene</t>
  </si>
  <si>
    <t>Tabell 6 Utviklingen i enkelte kjennetegn ved fastlegene og fastlegepraksisene</t>
  </si>
  <si>
    <t>Praksisfylke</t>
  </si>
  <si>
    <t>Figur 1 Nye og avsluttede fastlegepraksiser. Prosentvis andel av legene som er under 40 år</t>
  </si>
  <si>
    <t>Nye praksiser</t>
  </si>
  <si>
    <t>1. kvartal 2006</t>
  </si>
  <si>
    <t>første gangs</t>
  </si>
  <si>
    <t>2. kvartal 2006</t>
  </si>
  <si>
    <t>Fastlegenes gjennomsnittsalder</t>
  </si>
  <si>
    <t>1. kvartal</t>
  </si>
  <si>
    <t>2. kvartal</t>
  </si>
  <si>
    <t>3. kvartal</t>
  </si>
  <si>
    <t>4. kvartal</t>
  </si>
  <si>
    <t>3. kvartal 2006</t>
  </si>
  <si>
    <t>4. kvartal 2006</t>
  </si>
  <si>
    <t>Andre</t>
  </si>
  <si>
    <t>1. kvartal 2007</t>
  </si>
  <si>
    <t>andre</t>
  </si>
  <si>
    <t>2. kvartal 2007</t>
  </si>
  <si>
    <t>3. kvartal 2007</t>
  </si>
  <si>
    <t>4. kvartal 2007</t>
  </si>
  <si>
    <t>på åpne</t>
  </si>
  <si>
    <t>fastlegelister</t>
  </si>
  <si>
    <t>fastlegeliste</t>
  </si>
  <si>
    <t>som har plass på</t>
  </si>
  <si>
    <t>(inkl lister</t>
  </si>
  <si>
    <t>på liste uten</t>
  </si>
  <si>
    <t>Andel av fastlegelistene som er åpne</t>
  </si>
  <si>
    <r>
      <t>Andel</t>
    </r>
    <r>
      <rPr>
        <vertAlign val="superscript"/>
        <sz val="10"/>
        <rFont val="Arial"/>
        <family val="2"/>
      </rPr>
      <t>iii)</t>
    </r>
    <r>
      <rPr>
        <sz val="10"/>
        <rFont val="Arial"/>
        <family val="2"/>
      </rPr>
      <t xml:space="preserve"> ledige plasser på åpne fastlegelister</t>
    </r>
  </si>
  <si>
    <t>iv) Legebytter i løpet av mai-juni 2001.</t>
  </si>
  <si>
    <t>ii) Andelene er beregnet i forhold til antall innbyggere med listeplass.</t>
  </si>
  <si>
    <t>iii) Beregnet i forhold til summen av antall fylte plasser på fastlegelister og antall ledige plasser på åpne fastlegelister.</t>
  </si>
  <si>
    <t>Antall fylte</t>
  </si>
  <si>
    <t>plasser og</t>
  </si>
  <si>
    <t>ledige plasser</t>
  </si>
  <si>
    <t>iv) Dette kan f eks være asylsøkere og deres familier som ikke er registrert med bostedskommune, samt andre personer som er registrert som</t>
  </si>
  <si>
    <t>i) Se fotnote iii) til tabell 1.</t>
  </si>
  <si>
    <t>iii) Se fotnote ii) til tabell 1.</t>
  </si>
  <si>
    <r>
      <t>Ikke registrert fylke</t>
    </r>
    <r>
      <rPr>
        <vertAlign val="superscript"/>
        <sz val="10"/>
        <rFont val="Arial"/>
        <family val="2"/>
      </rPr>
      <t>iv)</t>
    </r>
  </si>
  <si>
    <r>
      <t>Andel</t>
    </r>
    <r>
      <rPr>
        <vertAlign val="superscript"/>
        <sz val="10"/>
        <rFont val="Arial"/>
        <family val="2"/>
      </rPr>
      <t>iii)</t>
    </r>
    <r>
      <rPr>
        <sz val="10"/>
        <rFont val="Arial"/>
        <family val="2"/>
      </rPr>
      <t xml:space="preserve"> legebytter</t>
    </r>
  </si>
  <si>
    <t>1. kvartal 2008</t>
  </si>
  <si>
    <t>2. kvartal 2008</t>
  </si>
  <si>
    <t>3. kvartal 2008</t>
  </si>
  <si>
    <t>4. kvartal 2008</t>
  </si>
  <si>
    <t>1. kvartal 2009</t>
  </si>
  <si>
    <t>2. kvartal 2009</t>
  </si>
  <si>
    <t>3. kvartal 2009</t>
  </si>
  <si>
    <t>Brukes</t>
  </si>
  <si>
    <t>til Word (tast inn tall)</t>
  </si>
  <si>
    <t>4. kvartal 2009</t>
  </si>
  <si>
    <t>1. kvartal 2010</t>
  </si>
  <si>
    <t>sum bytter etter eget ønske siste 12 mnd</t>
  </si>
  <si>
    <t>i forhold til antall med listeplass, siste kvartal</t>
  </si>
  <si>
    <t>2. kvartal 2010</t>
  </si>
  <si>
    <t>30.06.</t>
  </si>
  <si>
    <t>3. kvartal 2010</t>
  </si>
  <si>
    <t>4. kvartal 2010</t>
  </si>
  <si>
    <t>1. kvartal 2011</t>
  </si>
  <si>
    <t>2. kvartal 2011</t>
  </si>
  <si>
    <t>3. kvartal 2011</t>
  </si>
  <si>
    <t>4. kvartal 2011</t>
  </si>
  <si>
    <t>1. kvartal 2012</t>
  </si>
  <si>
    <t>2. kvartal 2012</t>
  </si>
  <si>
    <t>3. kvartal 2012</t>
  </si>
  <si>
    <t>4. kvartal 2012</t>
  </si>
  <si>
    <t>1. kvartal 2013</t>
  </si>
  <si>
    <t>2. kvartal 2013</t>
  </si>
  <si>
    <t>3. kvartal 2013</t>
  </si>
  <si>
    <t>4. kvartal 2013</t>
  </si>
  <si>
    <t>1. kvartal 2014</t>
  </si>
  <si>
    <t>75+ år</t>
  </si>
  <si>
    <t>2. kvartal 2014</t>
  </si>
  <si>
    <t>3. kvartal 2014</t>
  </si>
  <si>
    <t>4. kvartal 2014</t>
  </si>
  <si>
    <t>1. kvartal 2015</t>
  </si>
  <si>
    <t>2. kvartal 2015</t>
  </si>
  <si>
    <t>3. kvartal 2015</t>
  </si>
  <si>
    <t>4. kvartal 2015</t>
  </si>
  <si>
    <t>1. kvartal 2016</t>
  </si>
  <si>
    <t>2. kvartal 2016</t>
  </si>
  <si>
    <t>Avsluttet/</t>
  </si>
  <si>
    <t>Antall tildelte bytter (pga avsluttet</t>
  </si>
  <si>
    <t>Automatisk</t>
  </si>
  <si>
    <t>helsenorge.no</t>
  </si>
  <si>
    <t>utført selv på</t>
  </si>
  <si>
    <t>utført av</t>
  </si>
  <si>
    <t>800HELSE</t>
  </si>
  <si>
    <t>tildelt</t>
  </si>
  <si>
    <t>fra 1.6.2016</t>
  </si>
  <si>
    <t>fra 1.6.2001</t>
  </si>
  <si>
    <t>til 31.5.2016</t>
  </si>
  <si>
    <t>eller redusert praksis/ automatisk tildelt)</t>
  </si>
  <si>
    <t>3. kvartal 2016</t>
  </si>
  <si>
    <t>Utført av</t>
  </si>
  <si>
    <t>på</t>
  </si>
  <si>
    <t>bytter av</t>
  </si>
  <si>
    <t>automatisk</t>
  </si>
  <si>
    <t>4. kvartal 2016</t>
  </si>
  <si>
    <t>Andel fastlege praksiser som er spesialist i</t>
  </si>
  <si>
    <t>Andel fastlege praksiser med begge</t>
  </si>
  <si>
    <t>5 263 645</t>
  </si>
  <si>
    <t>5 274 182</t>
  </si>
  <si>
    <t>10 537</t>
  </si>
  <si>
    <t>Tabell 2 Utviklingen i antall fastlegepraksiser (ekskl. lister uten fast lege) mv</t>
  </si>
  <si>
    <t>Tabell 3 Utviklingen i antall lister uten fast lege mv</t>
  </si>
  <si>
    <t>fast lege</t>
  </si>
  <si>
    <t>uten fast lege</t>
  </si>
  <si>
    <t>Tabell 4 Utviklingen i antall lister (fastlegepraksiser og lister uten fast lege) mv</t>
  </si>
  <si>
    <t>liste uten fast lege</t>
  </si>
  <si>
    <t>uten fast lege)</t>
  </si>
  <si>
    <t xml:space="preserve"> liste uten fast lege</t>
  </si>
  <si>
    <t>Andel av listene som mangler fast lege</t>
  </si>
  <si>
    <t>fast lege)</t>
  </si>
  <si>
    <t>på liste (inkl. lister</t>
  </si>
  <si>
    <t>har plass på liste</t>
  </si>
  <si>
    <t>minst 1 mnd</t>
  </si>
  <si>
    <t>varighet</t>
  </si>
  <si>
    <t>etter 1.6.2016</t>
  </si>
  <si>
    <t>før 1.6.2016</t>
  </si>
  <si>
    <t>minst 2 mnd</t>
  </si>
  <si>
    <t>1. kvartal 2017</t>
  </si>
  <si>
    <t>kvaliteten er bra nå med den nye fastlegeløsningen fra 1.6.2016</t>
  </si>
  <si>
    <t>2. kvartal 2017</t>
  </si>
  <si>
    <t>3. kvartal 2017</t>
  </si>
  <si>
    <t>Disse tallene er feil ! Ubrukelige.</t>
  </si>
  <si>
    <t>4. kvartal 2017</t>
  </si>
  <si>
    <t>Antall deltakere uten listeplass er satt til null</t>
  </si>
  <si>
    <t>da det er mye nærmere riktig enn tallene som veldig feil</t>
  </si>
  <si>
    <t>1. kvartal 2018</t>
  </si>
  <si>
    <t>Trøndelag</t>
  </si>
  <si>
    <t>2. kvartal 2018</t>
  </si>
  <si>
    <t>3. kvartal 2018</t>
  </si>
  <si>
    <t>4. kvartal 2018</t>
  </si>
  <si>
    <t>1. kvartal 2019</t>
  </si>
  <si>
    <t>Nye (startede) fastlegeavtaler</t>
  </si>
  <si>
    <t>2. kvartal 2019</t>
  </si>
  <si>
    <t>3. kvartal 2019</t>
  </si>
  <si>
    <t>4. kvartal 2019</t>
  </si>
  <si>
    <t>desember</t>
  </si>
  <si>
    <t>mars</t>
  </si>
  <si>
    <t>juni</t>
  </si>
  <si>
    <t>september</t>
  </si>
  <si>
    <t>antall lister med fast lege, antall fastlegelister</t>
  </si>
  <si>
    <t>antall fastlegelister med fast lønn (lister uten lege er ikke med)</t>
  </si>
  <si>
    <t>andel fastlegelister med fast lønn (lister uten lege er ikke med)</t>
  </si>
  <si>
    <t>antall fastlegelister med fastlege med spesialitet allmennmedisin</t>
  </si>
  <si>
    <t>andel fastlegelister med fastlege med spesialitet allmennmedisin</t>
  </si>
  <si>
    <t>korrigerte tall fra ny tabell 6</t>
  </si>
  <si>
    <t>ENDRET MÅTE Å TELLE / ENDRET DEFINISJON</t>
  </si>
  <si>
    <t>ANTALL MED FASTLØNN</t>
  </si>
  <si>
    <t>ANTALL LISTER UTEN LEGE ER IKKE MED I NEVNEREN</t>
  </si>
  <si>
    <t>ANTALL TURNUSKANDIDATER ER IKKE MED I TELLER ELLER NEVNER</t>
  </si>
  <si>
    <t>se ny tabell 6 hvordan dette telles og regnes bla. prosenter</t>
  </si>
  <si>
    <t>AV ANTALL MED SPESIALITET I ALLMENNMEDISIN</t>
  </si>
  <si>
    <t>utgått</t>
  </si>
  <si>
    <t>antall lister uten fast lege (uten HPR-nr)</t>
  </si>
  <si>
    <t>Vestfold og Telemark</t>
  </si>
  <si>
    <t>Viken</t>
  </si>
  <si>
    <t>Innlandet</t>
  </si>
  <si>
    <t>Agder</t>
  </si>
  <si>
    <t>Vestland</t>
  </si>
  <si>
    <t>Troms og Finnmark</t>
  </si>
  <si>
    <t>3. kvartal 2020</t>
  </si>
  <si>
    <t>innbyggere på liste</t>
  </si>
  <si>
    <t>periode slutt</t>
  </si>
  <si>
    <t>periode start</t>
  </si>
  <si>
    <t>endring antall</t>
  </si>
  <si>
    <t>startede</t>
  </si>
  <si>
    <t>NA</t>
  </si>
  <si>
    <t>1. kvartal 2020</t>
  </si>
  <si>
    <t>fra Basistilskuddrapport</t>
  </si>
  <si>
    <t>Tabell 12 Fylkesvis fordeling av enkelte nøkkeltall for fastlegeordningen per 31. desember 2020. Prosentvise andeler</t>
  </si>
  <si>
    <t>4. kvartal 2020</t>
  </si>
  <si>
    <t>Figur 2 Antall fastlegebytter etter innbyggerens eget ønske. 1. kvartal 20017 - 4. kvartal 2020</t>
  </si>
  <si>
    <t>31.12.</t>
  </si>
  <si>
    <t>2. kvartal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</si>
</sst>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 ;_ * \-#,##0.00_ ;_ * &quot;-&quot;??_ ;_ @_ "/>
    <numFmt numFmtId="165" formatCode="0.0"/>
    <numFmt numFmtId="166" formatCode="#,##0.0"/>
    <numFmt numFmtId="167" formatCode="[$-414]d/\ mmmm\ yyyy;@"/>
    <numFmt numFmtId="168" formatCode="#,##0.000"/>
    <numFmt numFmtId="169" formatCode="_ * #,##0.0_ ;_ * \-#,##0.0_ ;_ * &quot;-&quot;??_ ;_ @_ "/>
    <numFmt numFmtId="170" formatCode="0.0\ %"/>
    <numFmt numFmtId="171" formatCode="[$-10414]#,##0;\-\ #,##0"/>
    <numFmt numFmtId="172" formatCode="_ * #,##0_ ;_ * \-#,##0_ ;_ * &quot;-&quot;??_ ;_ @_ "/>
    <numFmt numFmtId="173" formatCode="_-* #,##0_-;\-* #,##0_-;_-* &quot;-&quot;??_-;_-@_-"/>
  </numFmts>
  <fonts count="18" x14ac:knownFonts="1">
    <font>
      <sz val="10"/>
      <name val="Arial"/>
    </font>
    <font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vertAlign val="superscript"/>
      <sz val="10"/>
      <name val="Times New Roman"/>
      <family val="1"/>
    </font>
    <font>
      <sz val="9"/>
      <name val="Times New Roman"/>
      <family val="1"/>
    </font>
    <font>
      <sz val="10"/>
      <color rgb="FFFF0000"/>
      <name val="Arial"/>
      <family val="2"/>
    </font>
    <font>
      <sz val="10"/>
      <color rgb="FF000000"/>
      <name val="Segoe UI"/>
      <family val="2"/>
    </font>
    <font>
      <b/>
      <sz val="10"/>
      <color rgb="FF000000"/>
      <name val="Segoe UI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17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17"/>
      </bottom>
      <diagonal/>
    </border>
    <border>
      <left/>
      <right/>
      <top style="thick">
        <color indexed="17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5">
    <xf numFmtId="0" fontId="0" fillId="0" borderId="0" xfId="0"/>
    <xf numFmtId="0" fontId="0" fillId="0" borderId="1" xfId="0" applyBorder="1"/>
    <xf numFmtId="0" fontId="0" fillId="0" borderId="2" xfId="0" applyBorder="1"/>
    <xf numFmtId="165" fontId="0" fillId="0" borderId="2" xfId="0" applyNumberFormat="1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165" fontId="0" fillId="0" borderId="0" xfId="0" applyNumberFormat="1" applyBorder="1"/>
    <xf numFmtId="0" fontId="0" fillId="0" borderId="0" xfId="0" applyBorder="1"/>
    <xf numFmtId="0" fontId="0" fillId="0" borderId="8" xfId="0" applyBorder="1"/>
    <xf numFmtId="0" fontId="0" fillId="0" borderId="2" xfId="0" applyFill="1" applyBorder="1"/>
    <xf numFmtId="0" fontId="0" fillId="0" borderId="0" xfId="0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/>
    <xf numFmtId="165" fontId="5" fillId="0" borderId="0" xfId="0" applyNumberFormat="1" applyFont="1"/>
    <xf numFmtId="0" fontId="0" fillId="0" borderId="0" xfId="0" quotePrefix="1"/>
    <xf numFmtId="3" fontId="0" fillId="0" borderId="0" xfId="0" applyNumberFormat="1"/>
    <xf numFmtId="0" fontId="2" fillId="0" borderId="0" xfId="0" applyFont="1" applyBorder="1"/>
    <xf numFmtId="0" fontId="0" fillId="0" borderId="0" xfId="0" quotePrefix="1" applyBorder="1"/>
    <xf numFmtId="3" fontId="5" fillId="0" borderId="0" xfId="0" applyNumberFormat="1" applyFont="1" applyBorder="1"/>
    <xf numFmtId="3" fontId="0" fillId="0" borderId="0" xfId="0" applyNumberFormat="1" applyBorder="1"/>
    <xf numFmtId="3" fontId="4" fillId="0" borderId="0" xfId="0" applyNumberFormat="1" applyFont="1" applyBorder="1"/>
    <xf numFmtId="3" fontId="0" fillId="0" borderId="0" xfId="0" applyNumberFormat="1" applyAlignment="1">
      <alignment horizontal="right"/>
    </xf>
    <xf numFmtId="14" fontId="0" fillId="0" borderId="0" xfId="0" applyNumberFormat="1"/>
    <xf numFmtId="3" fontId="0" fillId="0" borderId="0" xfId="0" applyNumberFormat="1" applyBorder="1" applyAlignment="1">
      <alignment horizontal="right"/>
    </xf>
    <xf numFmtId="14" fontId="0" fillId="0" borderId="0" xfId="0" applyNumberFormat="1" applyBorder="1"/>
    <xf numFmtId="3" fontId="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center"/>
    </xf>
    <xf numFmtId="14" fontId="0" fillId="0" borderId="0" xfId="0" applyNumberFormat="1" applyAlignment="1">
      <alignment horizontal="left"/>
    </xf>
    <xf numFmtId="3" fontId="5" fillId="0" borderId="0" xfId="0" applyNumberFormat="1" applyFont="1" applyFill="1" applyBorder="1"/>
    <xf numFmtId="3" fontId="0" fillId="2" borderId="0" xfId="0" applyNumberFormat="1" applyFill="1"/>
    <xf numFmtId="0" fontId="0" fillId="2" borderId="0" xfId="0" applyFill="1"/>
    <xf numFmtId="3" fontId="3" fillId="2" borderId="0" xfId="0" applyNumberFormat="1" applyFont="1" applyFill="1" applyAlignment="1">
      <alignment horizontal="right"/>
    </xf>
    <xf numFmtId="3" fontId="5" fillId="2" borderId="1" xfId="0" applyNumberFormat="1" applyFont="1" applyFill="1" applyBorder="1"/>
    <xf numFmtId="3" fontId="0" fillId="2" borderId="0" xfId="0" applyNumberFormat="1" applyFill="1" applyBorder="1"/>
    <xf numFmtId="3" fontId="5" fillId="2" borderId="0" xfId="0" applyNumberFormat="1" applyFont="1" applyFill="1"/>
    <xf numFmtId="3" fontId="5" fillId="2" borderId="2" xfId="0" applyNumberFormat="1" applyFont="1" applyFill="1" applyBorder="1"/>
    <xf numFmtId="3" fontId="5" fillId="2" borderId="6" xfId="0" applyNumberFormat="1" applyFont="1" applyFill="1" applyBorder="1"/>
    <xf numFmtId="3" fontId="5" fillId="2" borderId="3" xfId="0" applyNumberFormat="1" applyFont="1" applyFill="1" applyBorder="1"/>
    <xf numFmtId="165" fontId="5" fillId="0" borderId="2" xfId="0" applyNumberFormat="1" applyFont="1" applyBorder="1"/>
    <xf numFmtId="165" fontId="5" fillId="0" borderId="6" xfId="0" applyNumberFormat="1" applyFont="1" applyBorder="1"/>
    <xf numFmtId="165" fontId="5" fillId="0" borderId="7" xfId="0" applyNumberFormat="1" applyFont="1" applyBorder="1"/>
    <xf numFmtId="165" fontId="5" fillId="0" borderId="9" xfId="0" applyNumberFormat="1" applyFont="1" applyBorder="1"/>
    <xf numFmtId="14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left"/>
    </xf>
    <xf numFmtId="3" fontId="0" fillId="0" borderId="0" xfId="0" applyNumberFormat="1" applyFill="1"/>
    <xf numFmtId="3" fontId="5" fillId="0" borderId="0" xfId="0" applyNumberFormat="1" applyFont="1" applyFill="1" applyAlignment="1">
      <alignment horizontal="right"/>
    </xf>
    <xf numFmtId="2" fontId="0" fillId="0" borderId="0" xfId="0" applyNumberFormat="1"/>
    <xf numFmtId="165" fontId="5" fillId="0" borderId="1" xfId="0" applyNumberFormat="1" applyFont="1" applyBorder="1"/>
    <xf numFmtId="3" fontId="5" fillId="2" borderId="1" xfId="0" applyNumberFormat="1" applyFont="1" applyFill="1" applyBorder="1" applyAlignment="1">
      <alignment horizontal="right"/>
    </xf>
    <xf numFmtId="0" fontId="0" fillId="0" borderId="10" xfId="0" applyBorder="1"/>
    <xf numFmtId="165" fontId="5" fillId="0" borderId="10" xfId="0" applyNumberFormat="1" applyFont="1" applyBorder="1"/>
    <xf numFmtId="3" fontId="5" fillId="2" borderId="10" xfId="0" applyNumberFormat="1" applyFont="1" applyFill="1" applyBorder="1"/>
    <xf numFmtId="165" fontId="5" fillId="0" borderId="0" xfId="0" applyNumberFormat="1" applyFont="1" applyBorder="1"/>
    <xf numFmtId="3" fontId="5" fillId="0" borderId="0" xfId="0" applyNumberFormat="1" applyFont="1" applyFill="1"/>
    <xf numFmtId="3" fontId="5" fillId="2" borderId="0" xfId="0" applyNumberFormat="1" applyFont="1" applyFill="1" applyBorder="1"/>
    <xf numFmtId="14" fontId="0" fillId="0" borderId="0" xfId="0" applyNumberFormat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Fill="1" applyBorder="1"/>
    <xf numFmtId="3" fontId="5" fillId="0" borderId="0" xfId="0" quotePrefix="1" applyNumberFormat="1" applyFont="1" applyFill="1" applyAlignment="1">
      <alignment horizontal="right"/>
    </xf>
    <xf numFmtId="3" fontId="5" fillId="0" borderId="1" xfId="0" quotePrefix="1" applyNumberFormat="1" applyFont="1" applyFill="1" applyBorder="1" applyAlignment="1">
      <alignment horizontal="right"/>
    </xf>
    <xf numFmtId="3" fontId="0" fillId="0" borderId="0" xfId="0" applyNumberFormat="1" applyFill="1" applyBorder="1"/>
    <xf numFmtId="3" fontId="5" fillId="2" borderId="0" xfId="0" applyNumberFormat="1" applyFont="1" applyFill="1" applyAlignment="1"/>
    <xf numFmtId="3" fontId="3" fillId="0" borderId="0" xfId="0" applyNumberFormat="1" applyFont="1" applyFill="1" applyAlignment="1">
      <alignment horizontal="right"/>
    </xf>
    <xf numFmtId="0" fontId="0" fillId="0" borderId="1" xfId="0" applyFill="1" applyBorder="1" applyAlignment="1">
      <alignment horizontal="center"/>
    </xf>
    <xf numFmtId="3" fontId="5" fillId="2" borderId="0" xfId="0" applyNumberFormat="1" applyFont="1" applyFill="1" applyAlignment="1">
      <alignment horizontal="right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3" fontId="5" fillId="0" borderId="2" xfId="0" applyNumberFormat="1" applyFont="1" applyFill="1" applyBorder="1"/>
    <xf numFmtId="3" fontId="5" fillId="0" borderId="4" xfId="0" applyNumberFormat="1" applyFont="1" applyFill="1" applyBorder="1"/>
    <xf numFmtId="0" fontId="0" fillId="0" borderId="5" xfId="0" applyFill="1" applyBorder="1"/>
    <xf numFmtId="3" fontId="5" fillId="0" borderId="7" xfId="0" applyNumberFormat="1" applyFont="1" applyFill="1" applyBorder="1"/>
    <xf numFmtId="3" fontId="5" fillId="0" borderId="5" xfId="0" applyNumberFormat="1" applyFont="1" applyFill="1" applyBorder="1"/>
    <xf numFmtId="3" fontId="5" fillId="0" borderId="6" xfId="0" applyNumberFormat="1" applyFont="1" applyFill="1" applyBorder="1"/>
    <xf numFmtId="0" fontId="0" fillId="0" borderId="5" xfId="0" applyFill="1" applyBorder="1" applyAlignment="1">
      <alignment horizontal="center"/>
    </xf>
    <xf numFmtId="3" fontId="5" fillId="0" borderId="9" xfId="0" applyNumberFormat="1" applyFont="1" applyFill="1" applyBorder="1"/>
    <xf numFmtId="14" fontId="0" fillId="0" borderId="0" xfId="0" applyNumberFormat="1" applyFill="1" applyBorder="1"/>
    <xf numFmtId="14" fontId="5" fillId="0" borderId="0" xfId="0" applyNumberFormat="1" applyFont="1" applyBorder="1" applyAlignment="1">
      <alignment horizontal="left"/>
    </xf>
    <xf numFmtId="3" fontId="5" fillId="0" borderId="0" xfId="0" applyNumberFormat="1" applyFont="1" applyFill="1" applyBorder="1" applyAlignment="1">
      <alignment horizontal="right"/>
    </xf>
    <xf numFmtId="165" fontId="5" fillId="0" borderId="5" xfId="0" applyNumberFormat="1" applyFont="1" applyBorder="1"/>
    <xf numFmtId="0" fontId="0" fillId="0" borderId="6" xfId="0" applyBorder="1"/>
    <xf numFmtId="14" fontId="0" fillId="0" borderId="1" xfId="0" applyNumberFormat="1" applyBorder="1"/>
    <xf numFmtId="3" fontId="5" fillId="0" borderId="1" xfId="0" applyNumberFormat="1" applyFont="1" applyBorder="1" applyAlignment="1">
      <alignment horizontal="center"/>
    </xf>
    <xf numFmtId="14" fontId="0" fillId="0" borderId="1" xfId="0" applyNumberFormat="1" applyFill="1" applyBorder="1"/>
    <xf numFmtId="3" fontId="5" fillId="0" borderId="1" xfId="0" applyNumberFormat="1" applyFont="1" applyFill="1" applyBorder="1" applyAlignment="1">
      <alignment horizontal="center"/>
    </xf>
    <xf numFmtId="3" fontId="5" fillId="2" borderId="0" xfId="0" applyNumberFormat="1" applyFont="1" applyFill="1" applyBorder="1" applyAlignment="1"/>
    <xf numFmtId="3" fontId="5" fillId="2" borderId="0" xfId="0" applyNumberFormat="1" applyFont="1" applyFill="1" applyBorder="1" applyAlignment="1">
      <alignment horizontal="right"/>
    </xf>
    <xf numFmtId="3" fontId="0" fillId="0" borderId="0" xfId="0" applyNumberFormat="1" applyFill="1" applyAlignment="1">
      <alignment horizontal="right"/>
    </xf>
    <xf numFmtId="3" fontId="0" fillId="2" borderId="0" xfId="0" applyNumberFormat="1" applyFill="1" applyBorder="1" applyAlignment="1">
      <alignment horizontal="right"/>
    </xf>
    <xf numFmtId="3" fontId="0" fillId="2" borderId="0" xfId="0" applyNumberFormat="1" applyFill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0" fillId="2" borderId="0" xfId="0" applyFill="1" applyBorder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166" fontId="0" fillId="0" borderId="0" xfId="0" applyNumberFormat="1" applyFill="1"/>
    <xf numFmtId="0" fontId="0" fillId="0" borderId="11" xfId="0" applyBorder="1"/>
    <xf numFmtId="0" fontId="0" fillId="0" borderId="0" xfId="0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right"/>
    </xf>
    <xf numFmtId="166" fontId="5" fillId="0" borderId="0" xfId="0" applyNumberFormat="1" applyFont="1" applyFill="1" applyBorder="1"/>
    <xf numFmtId="14" fontId="5" fillId="0" borderId="0" xfId="0" applyNumberFormat="1" applyFont="1" applyBorder="1"/>
    <xf numFmtId="3" fontId="5" fillId="2" borderId="7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165" fontId="5" fillId="2" borderId="0" xfId="0" applyNumberFormat="1" applyFont="1" applyFill="1" applyBorder="1"/>
    <xf numFmtId="1" fontId="0" fillId="0" borderId="0" xfId="0" applyNumberFormat="1" applyAlignment="1">
      <alignment horizontal="center"/>
    </xf>
    <xf numFmtId="14" fontId="5" fillId="0" borderId="1" xfId="0" applyNumberFormat="1" applyFont="1" applyBorder="1"/>
    <xf numFmtId="3" fontId="5" fillId="0" borderId="12" xfId="0" applyNumberFormat="1" applyFont="1" applyFill="1" applyBorder="1"/>
    <xf numFmtId="3" fontId="5" fillId="0" borderId="1" xfId="0" applyNumberFormat="1" applyFont="1" applyFill="1" applyBorder="1" applyAlignment="1">
      <alignment horizontal="right"/>
    </xf>
    <xf numFmtId="167" fontId="5" fillId="0" borderId="0" xfId="0" applyNumberFormat="1" applyFont="1" applyAlignment="1">
      <alignment horizontal="center" wrapText="1"/>
    </xf>
    <xf numFmtId="3" fontId="5" fillId="0" borderId="10" xfId="0" applyNumberFormat="1" applyFont="1" applyFill="1" applyBorder="1"/>
    <xf numFmtId="168" fontId="0" fillId="0" borderId="0" xfId="0" applyNumberFormat="1"/>
    <xf numFmtId="165" fontId="7" fillId="0" borderId="0" xfId="0" applyNumberFormat="1" applyFont="1"/>
    <xf numFmtId="3" fontId="0" fillId="3" borderId="0" xfId="0" applyNumberFormat="1" applyFill="1"/>
    <xf numFmtId="3" fontId="0" fillId="2" borderId="1" xfId="0" applyNumberFormat="1" applyFill="1" applyBorder="1"/>
    <xf numFmtId="3" fontId="5" fillId="3" borderId="2" xfId="0" applyNumberFormat="1" applyFont="1" applyFill="1" applyBorder="1"/>
    <xf numFmtId="3" fontId="5" fillId="3" borderId="7" xfId="0" applyNumberFormat="1" applyFont="1" applyFill="1" applyBorder="1"/>
    <xf numFmtId="3" fontId="5" fillId="3" borderId="4" xfId="0" applyNumberFormat="1" applyFont="1" applyFill="1" applyBorder="1"/>
    <xf numFmtId="165" fontId="5" fillId="0" borderId="8" xfId="0" applyNumberFormat="1" applyFont="1" applyBorder="1"/>
    <xf numFmtId="0" fontId="7" fillId="0" borderId="13" xfId="0" applyFont="1" applyBorder="1" applyAlignment="1">
      <alignment horizontal="right" vertical="top" wrapText="1"/>
    </xf>
    <xf numFmtId="0" fontId="7" fillId="0" borderId="14" xfId="0" applyFont="1" applyBorder="1" applyAlignment="1">
      <alignment horizontal="right" wrapText="1"/>
    </xf>
    <xf numFmtId="0" fontId="7" fillId="0" borderId="15" xfId="0" applyFont="1" applyBorder="1" applyAlignment="1">
      <alignment horizontal="right" wrapText="1"/>
    </xf>
    <xf numFmtId="169" fontId="7" fillId="0" borderId="0" xfId="1" applyNumberFormat="1" applyFont="1" applyAlignment="1">
      <alignment horizontal="right" wrapText="1"/>
    </xf>
    <xf numFmtId="169" fontId="7" fillId="0" borderId="14" xfId="1" applyNumberFormat="1" applyFont="1" applyBorder="1" applyAlignment="1">
      <alignment horizontal="right" wrapText="1"/>
    </xf>
    <xf numFmtId="169" fontId="5" fillId="0" borderId="0" xfId="1" applyNumberFormat="1" applyFont="1"/>
    <xf numFmtId="0" fontId="7" fillId="0" borderId="16" xfId="0" applyFont="1" applyBorder="1" applyAlignment="1">
      <alignment horizontal="right" vertical="top" wrapText="1"/>
    </xf>
    <xf numFmtId="0" fontId="8" fillId="0" borderId="0" xfId="0" applyFont="1" applyAlignment="1">
      <alignment horizontal="right" wrapText="1"/>
    </xf>
    <xf numFmtId="0" fontId="8" fillId="0" borderId="14" xfId="0" applyFont="1" applyBorder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165" fontId="7" fillId="0" borderId="14" xfId="0" applyNumberFormat="1" applyFont="1" applyBorder="1" applyAlignment="1">
      <alignment horizontal="right" wrapText="1"/>
    </xf>
    <xf numFmtId="170" fontId="0" fillId="0" borderId="0" xfId="2" applyNumberFormat="1" applyFont="1"/>
    <xf numFmtId="0" fontId="10" fillId="0" borderId="0" xfId="0" applyFont="1"/>
    <xf numFmtId="0" fontId="0" fillId="6" borderId="0" xfId="0" applyFill="1"/>
    <xf numFmtId="171" fontId="11" fillId="0" borderId="20" xfId="0" applyNumberFormat="1" applyFont="1" applyFill="1" applyBorder="1" applyAlignment="1">
      <alignment vertical="top" wrapText="1" readingOrder="1"/>
    </xf>
    <xf numFmtId="171" fontId="12" fillId="0" borderId="20" xfId="0" applyNumberFormat="1" applyFont="1" applyFill="1" applyBorder="1" applyAlignment="1">
      <alignment vertical="top" wrapText="1" readingOrder="1"/>
    </xf>
    <xf numFmtId="3" fontId="5" fillId="2" borderId="2" xfId="0" applyNumberFormat="1" applyFont="1" applyFill="1" applyBorder="1" applyAlignment="1">
      <alignment horizontal="right"/>
    </xf>
    <xf numFmtId="171" fontId="11" fillId="6" borderId="20" xfId="0" applyNumberFormat="1" applyFont="1" applyFill="1" applyBorder="1" applyAlignment="1">
      <alignment vertical="top" wrapText="1" readingOrder="1"/>
    </xf>
    <xf numFmtId="3" fontId="5" fillId="2" borderId="6" xfId="0" applyNumberFormat="1" applyFont="1" applyFill="1" applyBorder="1" applyAlignment="1">
      <alignment horizontal="right"/>
    </xf>
    <xf numFmtId="3" fontId="5" fillId="2" borderId="3" xfId="0" applyNumberFormat="1" applyFont="1" applyFill="1" applyBorder="1" applyAlignment="1">
      <alignment horizontal="right"/>
    </xf>
    <xf numFmtId="3" fontId="5" fillId="6" borderId="2" xfId="0" applyNumberFormat="1" applyFont="1" applyFill="1" applyBorder="1" applyAlignment="1">
      <alignment horizontal="right"/>
    </xf>
    <xf numFmtId="0" fontId="5" fillId="0" borderId="0" xfId="0" applyFont="1" applyFill="1"/>
    <xf numFmtId="3" fontId="0" fillId="0" borderId="6" xfId="0" applyNumberFormat="1" applyFill="1" applyBorder="1"/>
    <xf numFmtId="3" fontId="0" fillId="0" borderId="6" xfId="0" applyNumberForma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0" fillId="0" borderId="7" xfId="0" applyBorder="1"/>
    <xf numFmtId="3" fontId="5" fillId="2" borderId="18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>
      <alignment horizontal="right"/>
    </xf>
    <xf numFmtId="3" fontId="5" fillId="6" borderId="8" xfId="0" applyNumberFormat="1" applyFont="1" applyFill="1" applyBorder="1" applyAlignment="1">
      <alignment horizontal="right"/>
    </xf>
    <xf numFmtId="3" fontId="5" fillId="6" borderId="5" xfId="0" applyNumberFormat="1" applyFont="1" applyFill="1" applyBorder="1" applyAlignment="1">
      <alignment horizontal="right"/>
    </xf>
    <xf numFmtId="3" fontId="5" fillId="2" borderId="17" xfId="0" applyNumberFormat="1" applyFont="1" applyFill="1" applyBorder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3" fontId="5" fillId="6" borderId="6" xfId="0" applyNumberFormat="1" applyFont="1" applyFill="1" applyBorder="1" applyAlignment="1">
      <alignment horizontal="right"/>
    </xf>
    <xf numFmtId="3" fontId="5" fillId="2" borderId="12" xfId="0" applyNumberFormat="1" applyFont="1" applyFill="1" applyBorder="1" applyAlignment="1">
      <alignment horizontal="right"/>
    </xf>
    <xf numFmtId="3" fontId="5" fillId="0" borderId="7" xfId="0" applyNumberFormat="1" applyFont="1" applyFill="1" applyBorder="1" applyAlignment="1">
      <alignment horizontal="right"/>
    </xf>
    <xf numFmtId="3" fontId="5" fillId="6" borderId="3" xfId="0" applyNumberFormat="1" applyFont="1" applyFill="1" applyBorder="1" applyAlignment="1">
      <alignment horizontal="right"/>
    </xf>
    <xf numFmtId="3" fontId="5" fillId="6" borderId="7" xfId="0" applyNumberFormat="1" applyFont="1" applyFill="1" applyBorder="1" applyAlignment="1">
      <alignment horizontal="right"/>
    </xf>
    <xf numFmtId="172" fontId="5" fillId="2" borderId="2" xfId="1" applyNumberFormat="1" applyFont="1" applyFill="1" applyBorder="1" applyAlignment="1">
      <alignment horizontal="right"/>
    </xf>
    <xf numFmtId="165" fontId="5" fillId="0" borderId="17" xfId="0" applyNumberFormat="1" applyFont="1" applyBorder="1"/>
    <xf numFmtId="165" fontId="5" fillId="0" borderId="19" xfId="0" applyNumberFormat="1" applyFont="1" applyBorder="1"/>
    <xf numFmtId="166" fontId="5" fillId="2" borderId="0" xfId="0" applyNumberFormat="1" applyFont="1" applyFill="1" applyAlignment="1">
      <alignment horizontal="right"/>
    </xf>
    <xf numFmtId="166" fontId="5" fillId="2" borderId="1" xfId="0" applyNumberFormat="1" applyFont="1" applyFill="1" applyBorder="1" applyAlignment="1">
      <alignment horizontal="right"/>
    </xf>
    <xf numFmtId="0" fontId="9" fillId="0" borderId="16" xfId="0" applyFont="1" applyBorder="1" applyAlignment="1">
      <alignment horizontal="right" vertical="top" wrapText="1"/>
    </xf>
    <xf numFmtId="0" fontId="9" fillId="0" borderId="13" xfId="0" applyFont="1" applyBorder="1" applyAlignment="1">
      <alignment horizontal="right" vertical="top" wrapText="1"/>
    </xf>
    <xf numFmtId="169" fontId="9" fillId="0" borderId="0" xfId="1" applyNumberFormat="1" applyFont="1" applyAlignment="1">
      <alignment horizontal="right" wrapText="1"/>
    </xf>
    <xf numFmtId="169" fontId="9" fillId="0" borderId="14" xfId="1" applyNumberFormat="1" applyFont="1" applyBorder="1" applyAlignment="1">
      <alignment horizontal="right" wrapText="1"/>
    </xf>
    <xf numFmtId="165" fontId="9" fillId="0" borderId="14" xfId="0" applyNumberFormat="1" applyFont="1" applyBorder="1" applyAlignment="1">
      <alignment horizontal="right" wrapText="1"/>
    </xf>
    <xf numFmtId="165" fontId="9" fillId="0" borderId="0" xfId="0" applyNumberFormat="1" applyFont="1" applyAlignment="1">
      <alignment horizontal="right" wrapText="1"/>
    </xf>
    <xf numFmtId="0" fontId="9" fillId="0" borderId="14" xfId="0" applyFont="1" applyBorder="1" applyAlignment="1">
      <alignment horizontal="right" wrapText="1"/>
    </xf>
    <xf numFmtId="0" fontId="9" fillId="0" borderId="15" xfId="0" applyFont="1" applyBorder="1" applyAlignment="1">
      <alignment horizontal="right" wrapText="1"/>
    </xf>
    <xf numFmtId="14" fontId="0" fillId="0" borderId="11" xfId="0" applyNumberFormat="1" applyBorder="1"/>
    <xf numFmtId="0" fontId="0" fillId="0" borderId="11" xfId="0" applyBorder="1" applyAlignment="1">
      <alignment horizontal="center"/>
    </xf>
    <xf numFmtId="14" fontId="5" fillId="0" borderId="0" xfId="0" applyNumberFormat="1" applyFont="1" applyFill="1"/>
    <xf numFmtId="14" fontId="5" fillId="0" borderId="1" xfId="0" applyNumberFormat="1" applyFont="1" applyFill="1" applyBorder="1"/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3" fontId="5" fillId="0" borderId="3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8" xfId="0" applyBorder="1"/>
    <xf numFmtId="3" fontId="5" fillId="0" borderId="12" xfId="0" applyNumberFormat="1" applyFont="1" applyFill="1" applyBorder="1" applyAlignment="1">
      <alignment horizontal="center"/>
    </xf>
    <xf numFmtId="14" fontId="0" fillId="0" borderId="9" xfId="0" applyNumberFormat="1" applyBorder="1"/>
    <xf numFmtId="3" fontId="5" fillId="0" borderId="0" xfId="0" applyNumberFormat="1" applyFont="1" applyFill="1" applyBorder="1" applyAlignment="1">
      <alignment horizontal="center"/>
    </xf>
    <xf numFmtId="14" fontId="13" fillId="0" borderId="0" xfId="0" applyNumberFormat="1" applyFont="1" applyFill="1" applyBorder="1"/>
    <xf numFmtId="0" fontId="13" fillId="0" borderId="0" xfId="0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14" fontId="14" fillId="0" borderId="0" xfId="0" applyNumberFormat="1" applyFont="1"/>
    <xf numFmtId="0" fontId="14" fillId="0" borderId="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14" fontId="14" fillId="0" borderId="1" xfId="0" applyNumberFormat="1" applyFont="1" applyBorder="1"/>
    <xf numFmtId="0" fontId="14" fillId="0" borderId="7" xfId="0" applyFont="1" applyBorder="1" applyAlignment="1">
      <alignment horizontal="center"/>
    </xf>
    <xf numFmtId="0" fontId="14" fillId="0" borderId="12" xfId="0" applyFont="1" applyBorder="1"/>
    <xf numFmtId="0" fontId="14" fillId="0" borderId="1" xfId="0" applyFont="1" applyBorder="1"/>
    <xf numFmtId="0" fontId="14" fillId="0" borderId="3" xfId="0" applyFont="1" applyBorder="1"/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3" fontId="0" fillId="7" borderId="0" xfId="0" applyNumberFormat="1" applyFill="1" applyBorder="1"/>
    <xf numFmtId="165" fontId="5" fillId="0" borderId="3" xfId="0" applyNumberFormat="1" applyFont="1" applyBorder="1"/>
    <xf numFmtId="14" fontId="0" fillId="8" borderId="0" xfId="0" applyNumberFormat="1" applyFill="1" applyAlignment="1">
      <alignment horizontal="left"/>
    </xf>
    <xf numFmtId="3" fontId="0" fillId="8" borderId="0" xfId="0" applyNumberFormat="1" applyFill="1" applyBorder="1" applyAlignment="1">
      <alignment horizontal="right"/>
    </xf>
    <xf numFmtId="3" fontId="0" fillId="8" borderId="0" xfId="0" applyNumberFormat="1" applyFill="1"/>
    <xf numFmtId="3" fontId="5" fillId="8" borderId="0" xfId="0" applyNumberFormat="1" applyFont="1" applyFill="1" applyBorder="1" applyAlignment="1">
      <alignment horizontal="right"/>
    </xf>
    <xf numFmtId="3" fontId="0" fillId="8" borderId="0" xfId="0" applyNumberFormat="1" applyFill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1" fillId="0" borderId="0" xfId="0" applyNumberFormat="1" applyFont="1" applyBorder="1" applyAlignment="1">
      <alignment horizontal="left"/>
    </xf>
    <xf numFmtId="173" fontId="0" fillId="0" borderId="0" xfId="1" applyNumberFormat="1" applyFont="1"/>
    <xf numFmtId="170" fontId="15" fillId="0" borderId="0" xfId="2" applyNumberFormat="1" applyFont="1"/>
    <xf numFmtId="3" fontId="0" fillId="9" borderId="0" xfId="0" applyNumberFormat="1" applyFill="1" applyBorder="1"/>
    <xf numFmtId="0" fontId="0" fillId="9" borderId="0" xfId="0" applyFill="1"/>
    <xf numFmtId="165" fontId="5" fillId="9" borderId="0" xfId="0" applyNumberFormat="1" applyFont="1" applyFill="1" applyBorder="1" applyAlignment="1">
      <alignment horizontal="right"/>
    </xf>
    <xf numFmtId="165" fontId="1" fillId="9" borderId="0" xfId="0" applyNumberFormat="1" applyFont="1" applyFill="1"/>
    <xf numFmtId="3" fontId="5" fillId="9" borderId="0" xfId="0" applyNumberFormat="1" applyFont="1" applyFill="1"/>
    <xf numFmtId="0" fontId="0" fillId="9" borderId="0" xfId="0" applyFill="1" applyAlignment="1">
      <alignment horizontal="center"/>
    </xf>
    <xf numFmtId="0" fontId="0" fillId="9" borderId="0" xfId="0" applyFill="1" applyBorder="1"/>
    <xf numFmtId="165" fontId="1" fillId="9" borderId="0" xfId="0" applyNumberFormat="1" applyFont="1" applyFill="1" applyBorder="1"/>
    <xf numFmtId="3" fontId="5" fillId="9" borderId="0" xfId="0" applyNumberFormat="1" applyFont="1" applyFill="1" applyBorder="1"/>
    <xf numFmtId="0" fontId="0" fillId="0" borderId="1" xfId="0" applyBorder="1" applyAlignment="1">
      <alignment horizontal="center"/>
    </xf>
    <xf numFmtId="16" fontId="0" fillId="6" borderId="0" xfId="0" applyNumberFormat="1" applyFill="1"/>
    <xf numFmtId="173" fontId="0" fillId="6" borderId="0" xfId="1" applyNumberFormat="1" applyFont="1" applyFill="1"/>
    <xf numFmtId="170" fontId="15" fillId="6" borderId="0" xfId="2" applyNumberFormat="1" applyFont="1" applyFill="1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7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'ny tabell 6 spes fastlønn'!$A$3</c:f>
              <c:strCache>
                <c:ptCount val="1"/>
                <c:pt idx="0">
                  <c:v>antall lister med fast lege, antall fastlegelister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'ny tabell 6 spes fastlønn'!$B$1:$M$2</c:f>
              <c:multiLvlStrCache>
                <c:ptCount val="12"/>
                <c:lvl>
                  <c:pt idx="0">
                    <c:v>desember</c:v>
                  </c:pt>
                  <c:pt idx="1">
                    <c:v>mars</c:v>
                  </c:pt>
                  <c:pt idx="2">
                    <c:v>juni</c:v>
                  </c:pt>
                  <c:pt idx="3">
                    <c:v>september</c:v>
                  </c:pt>
                  <c:pt idx="4">
                    <c:v>desember</c:v>
                  </c:pt>
                  <c:pt idx="5">
                    <c:v>mars</c:v>
                  </c:pt>
                  <c:pt idx="6">
                    <c:v>juni</c:v>
                  </c:pt>
                  <c:pt idx="7">
                    <c:v>september</c:v>
                  </c:pt>
                  <c:pt idx="8">
                    <c:v>desember</c:v>
                  </c:pt>
                  <c:pt idx="9">
                    <c:v>mars</c:v>
                  </c:pt>
                  <c:pt idx="10">
                    <c:v>september</c:v>
                  </c:pt>
                  <c:pt idx="11">
                    <c:v>desember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</c:lvl>
              </c:multiLvlStrCache>
            </c:multiLvlStrRef>
          </c:cat>
          <c:val>
            <c:numRef>
              <c:f>'ny tabell 6 spes fastlønn'!$B$3:$M$3</c:f>
              <c:numCache>
                <c:formatCode>_-* #\ ##0_-;\-* #\ ##0_-;_-* "-"??_-;_-@_-</c:formatCode>
                <c:ptCount val="12"/>
                <c:pt idx="0">
                  <c:v>4760</c:v>
                </c:pt>
                <c:pt idx="1">
                  <c:v>4780</c:v>
                </c:pt>
                <c:pt idx="2">
                  <c:v>4780</c:v>
                </c:pt>
                <c:pt idx="3">
                  <c:v>4808</c:v>
                </c:pt>
                <c:pt idx="4">
                  <c:v>4815</c:v>
                </c:pt>
                <c:pt idx="5">
                  <c:v>4833</c:v>
                </c:pt>
                <c:pt idx="6">
                  <c:v>4847</c:v>
                </c:pt>
                <c:pt idx="7">
                  <c:v>4866</c:v>
                </c:pt>
                <c:pt idx="8">
                  <c:v>4884</c:v>
                </c:pt>
                <c:pt idx="9">
                  <c:v>4931</c:v>
                </c:pt>
                <c:pt idx="10">
                  <c:v>4961</c:v>
                </c:pt>
                <c:pt idx="11">
                  <c:v>4959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6-462D-A679-4F672E7B3393}"/>
            </c:ext>
          </c:extLst>
        </c:ser>
        <c:ser>
          <c:idx val="3"/>
          <c:order val="1"/>
          <c:tx>
            <c:strRef>
              <c:f>'ny tabell 6 spes fastlønn'!$A$6</c:f>
              <c:strCache>
                <c:ptCount val="1"/>
                <c:pt idx="0">
                  <c:v>antall fastlegelister med fastlege med spesialitet allmennmedisin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'ny tabell 6 spes fastlønn'!$B$1:$M$2</c:f>
              <c:multiLvlStrCache>
                <c:ptCount val="12"/>
                <c:lvl>
                  <c:pt idx="0">
                    <c:v>desember</c:v>
                  </c:pt>
                  <c:pt idx="1">
                    <c:v>mars</c:v>
                  </c:pt>
                  <c:pt idx="2">
                    <c:v>juni</c:v>
                  </c:pt>
                  <c:pt idx="3">
                    <c:v>september</c:v>
                  </c:pt>
                  <c:pt idx="4">
                    <c:v>desember</c:v>
                  </c:pt>
                  <c:pt idx="5">
                    <c:v>mars</c:v>
                  </c:pt>
                  <c:pt idx="6">
                    <c:v>juni</c:v>
                  </c:pt>
                  <c:pt idx="7">
                    <c:v>september</c:v>
                  </c:pt>
                  <c:pt idx="8">
                    <c:v>desember</c:v>
                  </c:pt>
                  <c:pt idx="9">
                    <c:v>mars</c:v>
                  </c:pt>
                  <c:pt idx="10">
                    <c:v>september</c:v>
                  </c:pt>
                  <c:pt idx="11">
                    <c:v>desember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</c:lvl>
              </c:multiLvlStrCache>
            </c:multiLvlStrRef>
          </c:cat>
          <c:val>
            <c:numRef>
              <c:f>'ny tabell 6 spes fastlønn'!$B$6:$M$6</c:f>
              <c:numCache>
                <c:formatCode>_-* #\ ##0_-;\-* #\ ##0_-;_-* "-"??_-;_-@_-</c:formatCode>
                <c:ptCount val="12"/>
                <c:pt idx="0">
                  <c:v>2910</c:v>
                </c:pt>
                <c:pt idx="1">
                  <c:v>2914</c:v>
                </c:pt>
                <c:pt idx="2">
                  <c:v>2933</c:v>
                </c:pt>
                <c:pt idx="3">
                  <c:v>2930</c:v>
                </c:pt>
                <c:pt idx="4">
                  <c:v>2950</c:v>
                </c:pt>
                <c:pt idx="5">
                  <c:v>2971</c:v>
                </c:pt>
                <c:pt idx="6">
                  <c:v>3000</c:v>
                </c:pt>
                <c:pt idx="7">
                  <c:v>3010</c:v>
                </c:pt>
                <c:pt idx="8">
                  <c:v>3049</c:v>
                </c:pt>
                <c:pt idx="9">
                  <c:v>3067</c:v>
                </c:pt>
                <c:pt idx="10">
                  <c:v>3093</c:v>
                </c:pt>
                <c:pt idx="11">
                  <c:v>3127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D6-462D-A679-4F672E7B3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474816"/>
        <c:axId val="585475472"/>
      </c:lineChart>
      <c:catAx>
        <c:axId val="58547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85475472"/>
        <c:crosses val="autoZero"/>
        <c:auto val="1"/>
        <c:lblAlgn val="ctr"/>
        <c:lblOffset val="100"/>
        <c:noMultiLvlLbl val="0"/>
      </c:catAx>
      <c:valAx>
        <c:axId val="58547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8547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'ny tabell 6 spes fastlønn'!$A$5</c:f>
              <c:strCache>
                <c:ptCount val="1"/>
                <c:pt idx="0">
                  <c:v>andel fastlegelister med fast lønn (lister uten lege er ikke med)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'ny tabell 6 spes fastlønn'!$B$1:$M$2</c:f>
              <c:multiLvlStrCache>
                <c:ptCount val="12"/>
                <c:lvl>
                  <c:pt idx="0">
                    <c:v>desember</c:v>
                  </c:pt>
                  <c:pt idx="1">
                    <c:v>mars</c:v>
                  </c:pt>
                  <c:pt idx="2">
                    <c:v>juni</c:v>
                  </c:pt>
                  <c:pt idx="3">
                    <c:v>september</c:v>
                  </c:pt>
                  <c:pt idx="4">
                    <c:v>desember</c:v>
                  </c:pt>
                  <c:pt idx="5">
                    <c:v>mars</c:v>
                  </c:pt>
                  <c:pt idx="6">
                    <c:v>juni</c:v>
                  </c:pt>
                  <c:pt idx="7">
                    <c:v>september</c:v>
                  </c:pt>
                  <c:pt idx="8">
                    <c:v>desember</c:v>
                  </c:pt>
                  <c:pt idx="9">
                    <c:v>mars</c:v>
                  </c:pt>
                  <c:pt idx="10">
                    <c:v>september</c:v>
                  </c:pt>
                  <c:pt idx="11">
                    <c:v>desember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</c:lvl>
              </c:multiLvlStrCache>
            </c:multiLvlStrRef>
          </c:cat>
          <c:val>
            <c:numRef>
              <c:f>'ny tabell 6 spes fastlønn'!$B$5:$M$5</c:f>
              <c:numCache>
                <c:formatCode>0.0\ %</c:formatCode>
                <c:ptCount val="12"/>
                <c:pt idx="0">
                  <c:v>0.11575630252100841</c:v>
                </c:pt>
                <c:pt idx="1">
                  <c:v>0.11799163179916318</c:v>
                </c:pt>
                <c:pt idx="2">
                  <c:v>0.1192468619246862</c:v>
                </c:pt>
                <c:pt idx="3">
                  <c:v>0.12458402662229617</c:v>
                </c:pt>
                <c:pt idx="4">
                  <c:v>0.12689511941848391</c:v>
                </c:pt>
                <c:pt idx="5">
                  <c:v>0.13097454996896338</c:v>
                </c:pt>
                <c:pt idx="6">
                  <c:v>0.13245306375077368</c:v>
                </c:pt>
                <c:pt idx="7">
                  <c:v>0.13748458692971641</c:v>
                </c:pt>
                <c:pt idx="8">
                  <c:v>0.13984438984438985</c:v>
                </c:pt>
                <c:pt idx="9">
                  <c:v>0.14337862502534982</c:v>
                </c:pt>
                <c:pt idx="10">
                  <c:v>0.14755089699657328</c:v>
                </c:pt>
                <c:pt idx="11">
                  <c:v>0.14740875176446863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22-4803-8551-94DD25D4D1A2}"/>
            </c:ext>
          </c:extLst>
        </c:ser>
        <c:ser>
          <c:idx val="2"/>
          <c:order val="1"/>
          <c:tx>
            <c:strRef>
              <c:f>'ny tabell 6 spes fastlønn'!$A$7</c:f>
              <c:strCache>
                <c:ptCount val="1"/>
                <c:pt idx="0">
                  <c:v>andel fastlegelister med fastlege med spesialitet allmennmedisin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'ny tabell 6 spes fastlønn'!$B$1:$M$2</c:f>
              <c:multiLvlStrCache>
                <c:ptCount val="12"/>
                <c:lvl>
                  <c:pt idx="0">
                    <c:v>desember</c:v>
                  </c:pt>
                  <c:pt idx="1">
                    <c:v>mars</c:v>
                  </c:pt>
                  <c:pt idx="2">
                    <c:v>juni</c:v>
                  </c:pt>
                  <c:pt idx="3">
                    <c:v>september</c:v>
                  </c:pt>
                  <c:pt idx="4">
                    <c:v>desember</c:v>
                  </c:pt>
                  <c:pt idx="5">
                    <c:v>mars</c:v>
                  </c:pt>
                  <c:pt idx="6">
                    <c:v>juni</c:v>
                  </c:pt>
                  <c:pt idx="7">
                    <c:v>september</c:v>
                  </c:pt>
                  <c:pt idx="8">
                    <c:v>desember</c:v>
                  </c:pt>
                  <c:pt idx="9">
                    <c:v>mars</c:v>
                  </c:pt>
                  <c:pt idx="10">
                    <c:v>september</c:v>
                  </c:pt>
                  <c:pt idx="11">
                    <c:v>desember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</c:lvl>
              </c:multiLvlStrCache>
            </c:multiLvlStrRef>
          </c:cat>
          <c:val>
            <c:numRef>
              <c:f>'ny tabell 6 spes fastlønn'!$B$7:$M$7</c:f>
              <c:numCache>
                <c:formatCode>0.0\ %</c:formatCode>
                <c:ptCount val="12"/>
                <c:pt idx="0">
                  <c:v>0.6113445378151261</c:v>
                </c:pt>
                <c:pt idx="1">
                  <c:v>0.60962343096234306</c:v>
                </c:pt>
                <c:pt idx="2">
                  <c:v>0.61359832635983269</c:v>
                </c:pt>
                <c:pt idx="3">
                  <c:v>0.6094009983361065</c:v>
                </c:pt>
                <c:pt idx="4">
                  <c:v>0.612668743509865</c:v>
                </c:pt>
                <c:pt idx="5">
                  <c:v>0.61473205048624047</c:v>
                </c:pt>
                <c:pt idx="6">
                  <c:v>0.61893955023726011</c:v>
                </c:pt>
                <c:pt idx="7">
                  <c:v>0.61857788738183317</c:v>
                </c:pt>
                <c:pt idx="8">
                  <c:v>0.62428337428337433</c:v>
                </c:pt>
                <c:pt idx="9">
                  <c:v>0.6219833705130805</c:v>
                </c:pt>
                <c:pt idx="10">
                  <c:v>0.62346301148961902</c:v>
                </c:pt>
                <c:pt idx="11">
                  <c:v>0.63057067957249446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422-4803-8551-94DD25D4D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474816"/>
        <c:axId val="585475472"/>
      </c:lineChart>
      <c:catAx>
        <c:axId val="58547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85475472"/>
        <c:crosses val="autoZero"/>
        <c:auto val="1"/>
        <c:lblAlgn val="ctr"/>
        <c:lblOffset val="100"/>
        <c:noMultiLvlLbl val="0"/>
      </c:catAx>
      <c:valAx>
        <c:axId val="58547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8547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63510763130524"/>
          <c:y val="8.8135739101792746E-2"/>
          <c:w val="0.8571441858013793"/>
          <c:h val="0.4983059095370589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 1'!$B$21</c:f>
              <c:strCache>
                <c:ptCount val="1"/>
                <c:pt idx="0">
                  <c:v>Nye praksiser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'Figur 1'!$A$23:$A$55</c:f>
              <c:strCache>
                <c:ptCount val="33"/>
                <c:pt idx="0">
                  <c:v>4. kvartal 2001</c:v>
                </c:pt>
                <c:pt idx="1">
                  <c:v>4. kvartal 2002</c:v>
                </c:pt>
                <c:pt idx="2">
                  <c:v>4. kvartal 2003</c:v>
                </c:pt>
                <c:pt idx="3">
                  <c:v>4. kvartal 2004</c:v>
                </c:pt>
                <c:pt idx="4">
                  <c:v>4. kvartal 2005</c:v>
                </c:pt>
                <c:pt idx="5">
                  <c:v>4. kvartal 2010</c:v>
                </c:pt>
                <c:pt idx="6">
                  <c:v>4. kvartal 2011</c:v>
                </c:pt>
                <c:pt idx="7">
                  <c:v>4. kvartal 2012</c:v>
                </c:pt>
                <c:pt idx="8">
                  <c:v>4. kvartal 2013</c:v>
                </c:pt>
                <c:pt idx="9">
                  <c:v>4. kvartal 2014</c:v>
                </c:pt>
                <c:pt idx="10">
                  <c:v>1. kvartal 2015</c:v>
                </c:pt>
                <c:pt idx="11">
                  <c:v>2. kvartal 2015</c:v>
                </c:pt>
                <c:pt idx="12">
                  <c:v>3. kvartal 2015</c:v>
                </c:pt>
                <c:pt idx="13">
                  <c:v>4. kvartal 2015</c:v>
                </c:pt>
                <c:pt idx="14">
                  <c:v>1. kvartal 2016</c:v>
                </c:pt>
                <c:pt idx="15">
                  <c:v>2. kvartal 2016</c:v>
                </c:pt>
                <c:pt idx="16">
                  <c:v>3. kvartal 2016</c:v>
                </c:pt>
                <c:pt idx="17">
                  <c:v>4. kvartal 2016</c:v>
                </c:pt>
                <c:pt idx="18">
                  <c:v>1. kvartal 2017</c:v>
                </c:pt>
                <c:pt idx="19">
                  <c:v>2. kvartal 2017</c:v>
                </c:pt>
                <c:pt idx="20">
                  <c:v>3. kvartal 2017</c:v>
                </c:pt>
                <c:pt idx="21">
                  <c:v>4. kvartal 2017</c:v>
                </c:pt>
                <c:pt idx="22">
                  <c:v>1. kvartal 2018</c:v>
                </c:pt>
                <c:pt idx="23">
                  <c:v>2. kvartal 2018</c:v>
                </c:pt>
                <c:pt idx="24">
                  <c:v>3. kvartal 2018</c:v>
                </c:pt>
                <c:pt idx="25">
                  <c:v>4. kvartal 2018</c:v>
                </c:pt>
                <c:pt idx="26">
                  <c:v>1. kvartal 2019</c:v>
                </c:pt>
                <c:pt idx="27">
                  <c:v>2. kvartal 2019</c:v>
                </c:pt>
                <c:pt idx="28">
                  <c:v>3. kvartal 2019</c:v>
                </c:pt>
                <c:pt idx="29">
                  <c:v>4. kvartal 2019</c:v>
                </c:pt>
                <c:pt idx="30">
                  <c:v>1. kvartal 2020</c:v>
                </c:pt>
                <c:pt idx="31">
                  <c:v>3. kvartal 2020</c:v>
                </c:pt>
                <c:pt idx="32">
                  <c:v>4. kvartal 2020</c:v>
                </c:pt>
              </c:strCache>
            </c:strRef>
          </c:cat>
          <c:val>
            <c:numRef>
              <c:f>'Figur 1'!$B$23:$B$55</c:f>
              <c:numCache>
                <c:formatCode>#\ ##0.0</c:formatCode>
                <c:ptCount val="33"/>
                <c:pt idx="0">
                  <c:v>55.172413793103445</c:v>
                </c:pt>
                <c:pt idx="1">
                  <c:v>76.36363636363636</c:v>
                </c:pt>
                <c:pt idx="2">
                  <c:v>61.53846153846154</c:v>
                </c:pt>
                <c:pt idx="3">
                  <c:v>64.285714285714292</c:v>
                </c:pt>
                <c:pt idx="4">
                  <c:v>68.115942028985501</c:v>
                </c:pt>
                <c:pt idx="5">
                  <c:v>73.239436619718305</c:v>
                </c:pt>
                <c:pt idx="6">
                  <c:v>72.058823529411768</c:v>
                </c:pt>
                <c:pt idx="7">
                  <c:v>81.914893617021278</c:v>
                </c:pt>
                <c:pt idx="8">
                  <c:v>81.609195402298852</c:v>
                </c:pt>
                <c:pt idx="9">
                  <c:v>72.41379310344827</c:v>
                </c:pt>
                <c:pt idx="10">
                  <c:v>70.329670329670336</c:v>
                </c:pt>
                <c:pt idx="11">
                  <c:v>76.19047619047619</c:v>
                </c:pt>
                <c:pt idx="12">
                  <c:v>79</c:v>
                </c:pt>
                <c:pt idx="13">
                  <c:v>73.493975903614455</c:v>
                </c:pt>
                <c:pt idx="14">
                  <c:v>66.34615384615384</c:v>
                </c:pt>
                <c:pt idx="15">
                  <c:v>76.041666666666671</c:v>
                </c:pt>
                <c:pt idx="16">
                  <c:v>72.131147540983605</c:v>
                </c:pt>
                <c:pt idx="17">
                  <c:v>70.238095238095241</c:v>
                </c:pt>
                <c:pt idx="18">
                  <c:v>67.272727272727266</c:v>
                </c:pt>
                <c:pt idx="19">
                  <c:v>75.925925925925924</c:v>
                </c:pt>
                <c:pt idx="20">
                  <c:v>77.868852459016395</c:v>
                </c:pt>
                <c:pt idx="21">
                  <c:v>67.368421052631575</c:v>
                </c:pt>
                <c:pt idx="22">
                  <c:v>70.676691729323309</c:v>
                </c:pt>
                <c:pt idx="23">
                  <c:v>74.226804123711347</c:v>
                </c:pt>
                <c:pt idx="24">
                  <c:v>70.186335403726702</c:v>
                </c:pt>
                <c:pt idx="25">
                  <c:v>75.531914893617028</c:v>
                </c:pt>
                <c:pt idx="26">
                  <c:v>69.911504424778755</c:v>
                </c:pt>
                <c:pt idx="27">
                  <c:v>68.224299065420567</c:v>
                </c:pt>
                <c:pt idx="28">
                  <c:v>70.422535211267601</c:v>
                </c:pt>
                <c:pt idx="29">
                  <c:v>72.727272727272734</c:v>
                </c:pt>
                <c:pt idx="30">
                  <c:v>76.388888888888886</c:v>
                </c:pt>
                <c:pt idx="31">
                  <c:v>70.895522388059703</c:v>
                </c:pt>
                <c:pt idx="32">
                  <c:v>68.539325842696627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14-42B9-8006-84882D366500}"/>
            </c:ext>
          </c:extLst>
        </c:ser>
        <c:ser>
          <c:idx val="3"/>
          <c:order val="1"/>
          <c:tx>
            <c:strRef>
              <c:f>'Figur 1'!$C$20:$C$21</c:f>
              <c:strCache>
                <c:ptCount val="2"/>
                <c:pt idx="0">
                  <c:v>Avsluttede</c:v>
                </c:pt>
                <c:pt idx="1">
                  <c:v>praksiser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'Figur 1'!$A$23:$A$55</c:f>
              <c:strCache>
                <c:ptCount val="33"/>
                <c:pt idx="0">
                  <c:v>4. kvartal 2001</c:v>
                </c:pt>
                <c:pt idx="1">
                  <c:v>4. kvartal 2002</c:v>
                </c:pt>
                <c:pt idx="2">
                  <c:v>4. kvartal 2003</c:v>
                </c:pt>
                <c:pt idx="3">
                  <c:v>4. kvartal 2004</c:v>
                </c:pt>
                <c:pt idx="4">
                  <c:v>4. kvartal 2005</c:v>
                </c:pt>
                <c:pt idx="5">
                  <c:v>4. kvartal 2010</c:v>
                </c:pt>
                <c:pt idx="6">
                  <c:v>4. kvartal 2011</c:v>
                </c:pt>
                <c:pt idx="7">
                  <c:v>4. kvartal 2012</c:v>
                </c:pt>
                <c:pt idx="8">
                  <c:v>4. kvartal 2013</c:v>
                </c:pt>
                <c:pt idx="9">
                  <c:v>4. kvartal 2014</c:v>
                </c:pt>
                <c:pt idx="10">
                  <c:v>1. kvartal 2015</c:v>
                </c:pt>
                <c:pt idx="11">
                  <c:v>2. kvartal 2015</c:v>
                </c:pt>
                <c:pt idx="12">
                  <c:v>3. kvartal 2015</c:v>
                </c:pt>
                <c:pt idx="13">
                  <c:v>4. kvartal 2015</c:v>
                </c:pt>
                <c:pt idx="14">
                  <c:v>1. kvartal 2016</c:v>
                </c:pt>
                <c:pt idx="15">
                  <c:v>2. kvartal 2016</c:v>
                </c:pt>
                <c:pt idx="16">
                  <c:v>3. kvartal 2016</c:v>
                </c:pt>
                <c:pt idx="17">
                  <c:v>4. kvartal 2016</c:v>
                </c:pt>
                <c:pt idx="18">
                  <c:v>1. kvartal 2017</c:v>
                </c:pt>
                <c:pt idx="19">
                  <c:v>2. kvartal 2017</c:v>
                </c:pt>
                <c:pt idx="20">
                  <c:v>3. kvartal 2017</c:v>
                </c:pt>
                <c:pt idx="21">
                  <c:v>4. kvartal 2017</c:v>
                </c:pt>
                <c:pt idx="22">
                  <c:v>1. kvartal 2018</c:v>
                </c:pt>
                <c:pt idx="23">
                  <c:v>2. kvartal 2018</c:v>
                </c:pt>
                <c:pt idx="24">
                  <c:v>3. kvartal 2018</c:v>
                </c:pt>
                <c:pt idx="25">
                  <c:v>4. kvartal 2018</c:v>
                </c:pt>
                <c:pt idx="26">
                  <c:v>1. kvartal 2019</c:v>
                </c:pt>
                <c:pt idx="27">
                  <c:v>2. kvartal 2019</c:v>
                </c:pt>
                <c:pt idx="28">
                  <c:v>3. kvartal 2019</c:v>
                </c:pt>
                <c:pt idx="29">
                  <c:v>4. kvartal 2019</c:v>
                </c:pt>
                <c:pt idx="30">
                  <c:v>1. kvartal 2020</c:v>
                </c:pt>
                <c:pt idx="31">
                  <c:v>3. kvartal 2020</c:v>
                </c:pt>
                <c:pt idx="32">
                  <c:v>4. kvartal 2020</c:v>
                </c:pt>
              </c:strCache>
            </c:strRef>
          </c:cat>
          <c:val>
            <c:numRef>
              <c:f>'Figur 1'!$C$23:$C$55</c:f>
              <c:numCache>
                <c:formatCode>#\ ##0.0</c:formatCode>
                <c:ptCount val="33"/>
                <c:pt idx="0">
                  <c:v>37.142857142857146</c:v>
                </c:pt>
                <c:pt idx="1">
                  <c:v>42.10526315789474</c:v>
                </c:pt>
                <c:pt idx="2">
                  <c:v>38.70967741935484</c:v>
                </c:pt>
                <c:pt idx="3">
                  <c:v>47.457627118644069</c:v>
                </c:pt>
                <c:pt idx="4">
                  <c:v>34.210526315789473</c:v>
                </c:pt>
                <c:pt idx="5">
                  <c:v>44.927536231884055</c:v>
                </c:pt>
                <c:pt idx="6">
                  <c:v>33.333333333333336</c:v>
                </c:pt>
                <c:pt idx="7">
                  <c:v>29.11392405063291</c:v>
                </c:pt>
                <c:pt idx="8">
                  <c:v>25.373134328358208</c:v>
                </c:pt>
                <c:pt idx="9">
                  <c:v>28.8135593220339</c:v>
                </c:pt>
                <c:pt idx="10">
                  <c:v>30.555555555555557</c:v>
                </c:pt>
                <c:pt idx="11">
                  <c:v>31.25</c:v>
                </c:pt>
                <c:pt idx="12">
                  <c:v>32.38095238095238</c:v>
                </c:pt>
                <c:pt idx="13">
                  <c:v>42.666666666666664</c:v>
                </c:pt>
                <c:pt idx="14">
                  <c:v>30.555555555555557</c:v>
                </c:pt>
                <c:pt idx="15">
                  <c:v>19.672131147540984</c:v>
                </c:pt>
                <c:pt idx="16">
                  <c:v>23.913043478260871</c:v>
                </c:pt>
                <c:pt idx="17">
                  <c:v>37.5</c:v>
                </c:pt>
                <c:pt idx="18">
                  <c:v>32.584269662921351</c:v>
                </c:pt>
                <c:pt idx="19">
                  <c:v>32.608695652173914</c:v>
                </c:pt>
                <c:pt idx="20">
                  <c:v>34.523809523809526</c:v>
                </c:pt>
                <c:pt idx="21">
                  <c:v>39.473684210526315</c:v>
                </c:pt>
                <c:pt idx="22">
                  <c:v>33.628318584070797</c:v>
                </c:pt>
                <c:pt idx="23">
                  <c:v>35.051546391752581</c:v>
                </c:pt>
                <c:pt idx="24">
                  <c:v>39.393939393939391</c:v>
                </c:pt>
                <c:pt idx="25">
                  <c:v>41.379310344827587</c:v>
                </c:pt>
                <c:pt idx="26">
                  <c:v>37.89473684210526</c:v>
                </c:pt>
                <c:pt idx="27">
                  <c:v>26.595744680851062</c:v>
                </c:pt>
                <c:pt idx="28">
                  <c:v>32.716049382716051</c:v>
                </c:pt>
                <c:pt idx="29">
                  <c:v>27.43362831858407</c:v>
                </c:pt>
                <c:pt idx="30">
                  <c:v>27.480916030534353</c:v>
                </c:pt>
                <c:pt idx="31">
                  <c:v>36.196319018404907</c:v>
                </c:pt>
                <c:pt idx="32">
                  <c:v>43.548387096774192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14-42B9-8006-84882D366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690560"/>
        <c:axId val="1"/>
      </c:barChart>
      <c:catAx>
        <c:axId val="27469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74690560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984176977877764"/>
          <c:y val="0.89830650829663239"/>
          <c:w val="0.35873065866766646"/>
          <c:h val="7.79661016949152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35305997337787"/>
          <c:y val="8.8737201365187715E-2"/>
          <c:w val="0.70036827569245796"/>
          <c:h val="0.74744027303754268"/>
        </c:manualLayout>
      </c:layout>
      <c:lineChart>
        <c:grouping val="standard"/>
        <c:varyColors val="0"/>
        <c:ser>
          <c:idx val="3"/>
          <c:order val="0"/>
          <c:tx>
            <c:strRef>
              <c:f>'Figur 2'!$O$21</c:f>
              <c:strCache>
                <c:ptCount val="1"/>
                <c:pt idx="0">
                  <c:v>2017</c:v>
                </c:pt>
              </c:strCache>
            </c:strRef>
          </c:tx>
          <c:cat>
            <c:strRef>
              <c:f>'Figur 2'!$A$22:$A$25</c:f>
              <c:strCache>
                <c:ptCount val="4"/>
                <c:pt idx="0">
                  <c:v>1. kvartal</c:v>
                </c:pt>
                <c:pt idx="1">
                  <c:v>2. kvartal</c:v>
                </c:pt>
                <c:pt idx="2">
                  <c:v>3. kvartal</c:v>
                </c:pt>
                <c:pt idx="3">
                  <c:v>4. kvartal</c:v>
                </c:pt>
              </c:strCache>
            </c:strRef>
          </c:cat>
          <c:val>
            <c:numRef>
              <c:f>'Figur 2'!$O$22:$O$25</c:f>
              <c:numCache>
                <c:formatCode>#,##0</c:formatCode>
                <c:ptCount val="4"/>
                <c:pt idx="0">
                  <c:v>101262</c:v>
                </c:pt>
                <c:pt idx="1">
                  <c:v>96227</c:v>
                </c:pt>
                <c:pt idx="2">
                  <c:v>94518</c:v>
                </c:pt>
                <c:pt idx="3">
                  <c:v>101438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71-4D18-AFC3-757A0FCD7328}"/>
            </c:ext>
          </c:extLst>
        </c:ser>
        <c:ser>
          <c:idx val="7"/>
          <c:order val="1"/>
          <c:tx>
            <c:strRef>
              <c:f>'Figur 2'!$P$21</c:f>
              <c:strCache>
                <c:ptCount val="1"/>
                <c:pt idx="0">
                  <c:v>2018</c:v>
                </c:pt>
              </c:strCache>
            </c:strRef>
          </c:tx>
          <c:cat>
            <c:strRef>
              <c:f>'Figur 2'!$A$22:$A$25</c:f>
              <c:strCache>
                <c:ptCount val="4"/>
                <c:pt idx="0">
                  <c:v>1. kvartal</c:v>
                </c:pt>
                <c:pt idx="1">
                  <c:v>2. kvartal</c:v>
                </c:pt>
                <c:pt idx="2">
                  <c:v>3. kvartal</c:v>
                </c:pt>
                <c:pt idx="3">
                  <c:v>4. kvartal</c:v>
                </c:pt>
              </c:strCache>
            </c:strRef>
          </c:cat>
          <c:val>
            <c:numRef>
              <c:f>'Figur 2'!$P$22:$P$25</c:f>
              <c:numCache>
                <c:formatCode>#,##0</c:formatCode>
                <c:ptCount val="4"/>
                <c:pt idx="0">
                  <c:v>95094</c:v>
                </c:pt>
                <c:pt idx="1">
                  <c:v>82744</c:v>
                </c:pt>
                <c:pt idx="2">
                  <c:v>96350</c:v>
                </c:pt>
                <c:pt idx="3">
                  <c:v>106644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71-4D18-AFC3-757A0FCD7328}"/>
            </c:ext>
          </c:extLst>
        </c:ser>
        <c:ser>
          <c:idx val="8"/>
          <c:order val="2"/>
          <c:tx>
            <c:strRef>
              <c:f>'Figur 2'!$Q$21</c:f>
              <c:strCache>
                <c:ptCount val="1"/>
                <c:pt idx="0">
                  <c:v>2019</c:v>
                </c:pt>
              </c:strCache>
            </c:strRef>
          </c:tx>
          <c:cat>
            <c:strRef>
              <c:f>'Figur 2'!$A$22:$A$25</c:f>
              <c:strCache>
                <c:ptCount val="4"/>
                <c:pt idx="0">
                  <c:v>1. kvartal</c:v>
                </c:pt>
                <c:pt idx="1">
                  <c:v>2. kvartal</c:v>
                </c:pt>
                <c:pt idx="2">
                  <c:v>3. kvartal</c:v>
                </c:pt>
                <c:pt idx="3">
                  <c:v>4. kvartal</c:v>
                </c:pt>
              </c:strCache>
            </c:strRef>
          </c:cat>
          <c:val>
            <c:numRef>
              <c:f>'Figur 2'!$Q$22:$Q$25</c:f>
              <c:numCache>
                <c:formatCode>#,##0</c:formatCode>
                <c:ptCount val="4"/>
                <c:pt idx="0">
                  <c:v>96916</c:v>
                </c:pt>
                <c:pt idx="1">
                  <c:v>82376</c:v>
                </c:pt>
                <c:pt idx="2">
                  <c:v>95064</c:v>
                </c:pt>
                <c:pt idx="3">
                  <c:v>102553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71-4D18-AFC3-757A0FCD7328}"/>
            </c:ext>
          </c:extLst>
        </c:ser>
        <c:ser>
          <c:idx val="9"/>
          <c:order val="3"/>
          <c:tx>
            <c:strRef>
              <c:f>'Figur 2'!$R$21</c:f>
              <c:strCache>
                <c:ptCount val="1"/>
                <c:pt idx="0">
                  <c:v>2020</c:v>
                </c:pt>
              </c:strCache>
            </c:strRef>
          </c:tx>
          <c:cat>
            <c:strRef>
              <c:f>'Figur 2'!$A$22:$A$25</c:f>
              <c:strCache>
                <c:ptCount val="4"/>
                <c:pt idx="0">
                  <c:v>1. kvartal</c:v>
                </c:pt>
                <c:pt idx="1">
                  <c:v>2. kvartal</c:v>
                </c:pt>
                <c:pt idx="2">
                  <c:v>3. kvartal</c:v>
                </c:pt>
                <c:pt idx="3">
                  <c:v>4. kvartal</c:v>
                </c:pt>
              </c:strCache>
            </c:strRef>
          </c:cat>
          <c:val>
            <c:numRef>
              <c:f>'Figur 2'!$R$22:$R$25</c:f>
              <c:numCache>
                <c:formatCode>#,##0</c:formatCode>
                <c:ptCount val="4"/>
                <c:pt idx="0">
                  <c:v>131576</c:v>
                </c:pt>
                <c:pt idx="1">
                  <c:v>109447</c:v>
                </c:pt>
                <c:pt idx="2">
                  <c:v>103971</c:v>
                </c:pt>
                <c:pt idx="3">
                  <c:v>103850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571-4D18-AFC3-757A0FCD7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136848"/>
        <c:axId val="1"/>
      </c:lineChart>
      <c:catAx>
        <c:axId val="40013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00136848"/>
        <c:crossesAt val="1"/>
        <c:crossBetween val="between"/>
        <c:majorUnit val="10000"/>
      </c:valAx>
    </c:plotArea>
    <c:legend>
      <c:legendPos val="r"/>
      <c:layout>
        <c:manualLayout>
          <c:xMode val="edge"/>
          <c:yMode val="edge"/>
          <c:x val="0.85294194843291649"/>
          <c:y val="0.27986348122866894"/>
          <c:w val="0.10734241280906608"/>
          <c:h val="0.229147174020437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477754</xdr:colOff>
      <xdr:row>35</xdr:row>
      <xdr:rowOff>160087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FBF4CF1-B544-437C-B838-12CD2FE6D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13</xdr:row>
      <xdr:rowOff>0</xdr:rowOff>
    </xdr:from>
    <xdr:to>
      <xdr:col>21</xdr:col>
      <xdr:colOff>257175</xdr:colOff>
      <xdr:row>35</xdr:row>
      <xdr:rowOff>160087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3A7A352-9269-418F-9300-5C8A387C0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85725</xdr:rowOff>
    </xdr:from>
    <xdr:to>
      <xdr:col>7</xdr:col>
      <xdr:colOff>704850</xdr:colOff>
      <xdr:row>18</xdr:row>
      <xdr:rowOff>142875</xdr:rowOff>
    </xdr:to>
    <xdr:graphicFrame macro="">
      <xdr:nvGraphicFramePr>
        <xdr:cNvPr id="1986" name="Diagram 1">
          <a:extLst>
            <a:ext uri="{FF2B5EF4-FFF2-40B4-BE49-F238E27FC236}">
              <a16:creationId xmlns:a16="http://schemas.microsoft.com/office/drawing/2014/main" id="{00000000-0008-0000-0700-0000C2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0.58242</cdr:x>
      <cdr:y>0.36594</cdr:y>
    </cdr:from>
    <cdr:to>
      <cdr:x>0.79032</cdr:x>
      <cdr:y>0.45749</cdr:y>
    </cdr:to>
    <cdr:sp macro="" textlink="">
      <cdr:nvSpPr>
        <cdr:cNvPr id="20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03696" y="1034899"/>
          <a:ext cx="1249549" cy="2581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142875</xdr:rowOff>
    </xdr:from>
    <xdr:to>
      <xdr:col>6</xdr:col>
      <xdr:colOff>609600</xdr:colOff>
      <xdr:row>18</xdr:row>
      <xdr:rowOff>19050</xdr:rowOff>
    </xdr:to>
    <xdr:graphicFrame macro="">
      <xdr:nvGraphicFramePr>
        <xdr:cNvPr id="74687" name="Diagram 2">
          <a:extLst>
            <a:ext uri="{FF2B5EF4-FFF2-40B4-BE49-F238E27FC236}">
              <a16:creationId xmlns:a16="http://schemas.microsoft.com/office/drawing/2014/main" id="{00000000-0008-0000-0A00-0000BF23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zoomScale="98" zoomScaleNormal="98" workbookViewId="0">
      <selection activeCell="H36" sqref="H36"/>
    </sheetView>
  </sheetViews>
  <sheetFormatPr baseColWidth="10" defaultRowHeight="12.75" x14ac:dyDescent="0.2"/>
  <cols>
    <col min="1" max="1" width="37" customWidth="1"/>
    <col min="2" max="2" width="17.7109375" customWidth="1"/>
    <col min="3" max="3" width="7.5703125" style="16" customWidth="1"/>
    <col min="4" max="4" width="9.7109375" customWidth="1"/>
  </cols>
  <sheetData>
    <row r="1" spans="1:9" x14ac:dyDescent="0.2">
      <c r="A1" s="14" t="s">
        <v>145</v>
      </c>
      <c r="D1" s="14"/>
    </row>
    <row r="2" spans="1:9" x14ac:dyDescent="0.2">
      <c r="A2" s="14"/>
      <c r="D2" s="14"/>
    </row>
    <row r="3" spans="1:9" ht="12.75" customHeight="1" x14ac:dyDescent="0.2">
      <c r="A3" s="14"/>
      <c r="B3" s="122">
        <v>44196</v>
      </c>
      <c r="C3" s="11"/>
      <c r="D3" s="14"/>
      <c r="G3" s="25"/>
      <c r="H3" s="25"/>
    </row>
    <row r="4" spans="1:9" x14ac:dyDescent="0.2">
      <c r="A4" s="1"/>
      <c r="B4" s="69"/>
      <c r="C4" s="12"/>
      <c r="D4" s="76" t="s">
        <v>68</v>
      </c>
      <c r="E4" s="76" t="s">
        <v>69</v>
      </c>
      <c r="G4" s="25"/>
      <c r="H4" s="25"/>
    </row>
    <row r="5" spans="1:9" x14ac:dyDescent="0.2">
      <c r="A5" t="s">
        <v>146</v>
      </c>
      <c r="C5" s="64"/>
      <c r="D5" s="53"/>
      <c r="E5" s="53"/>
      <c r="G5" s="25"/>
      <c r="H5" s="25"/>
    </row>
    <row r="6" spans="1:9" x14ac:dyDescent="0.2">
      <c r="A6" t="s">
        <v>147</v>
      </c>
      <c r="B6" s="23">
        <f>D6/E6*100</f>
        <v>97.961081454694025</v>
      </c>
      <c r="C6" s="64"/>
      <c r="D6" s="66">
        <f>'Tabell 2'!D86</f>
        <v>5289341</v>
      </c>
      <c r="E6" s="65">
        <f>SUM(D6:D10)</f>
        <v>5399431</v>
      </c>
      <c r="G6" s="124"/>
      <c r="H6" s="25"/>
      <c r="I6" s="25"/>
    </row>
    <row r="7" spans="1:9" x14ac:dyDescent="0.2">
      <c r="A7" t="s">
        <v>146</v>
      </c>
      <c r="C7" s="64"/>
      <c r="D7" s="65"/>
      <c r="E7" s="65"/>
      <c r="G7" s="124"/>
      <c r="H7" s="25" t="s">
        <v>254</v>
      </c>
      <c r="I7" s="25"/>
    </row>
    <row r="8" spans="1:9" x14ac:dyDescent="0.2">
      <c r="A8" t="s">
        <v>317</v>
      </c>
      <c r="B8" s="23">
        <f>D8/E8*100</f>
        <v>2.0389185453059779</v>
      </c>
      <c r="C8" s="64"/>
      <c r="D8" s="66">
        <f>'Tabell 3'!D86</f>
        <v>110090</v>
      </c>
      <c r="E8" s="65">
        <f>SUM(D6:D10)</f>
        <v>5399431</v>
      </c>
      <c r="G8" s="124"/>
      <c r="H8" s="25" t="s">
        <v>255</v>
      </c>
      <c r="I8" s="25"/>
    </row>
    <row r="9" spans="1:9" ht="13.5" thickBot="1" x14ac:dyDescent="0.25">
      <c r="A9" s="16" t="s">
        <v>148</v>
      </c>
      <c r="C9" s="64"/>
      <c r="D9" s="65"/>
      <c r="E9" s="65"/>
      <c r="G9" s="124"/>
      <c r="H9" s="25"/>
      <c r="I9" s="25"/>
    </row>
    <row r="10" spans="1:9" ht="13.5" thickTop="1" x14ac:dyDescent="0.2">
      <c r="A10" s="1" t="s">
        <v>149</v>
      </c>
      <c r="B10" s="127" t="s">
        <v>375</v>
      </c>
      <c r="C10" s="59"/>
      <c r="D10" s="127" t="s">
        <v>375</v>
      </c>
      <c r="E10" s="70">
        <f>SUM(D6:D10)</f>
        <v>5399431</v>
      </c>
      <c r="G10" s="138" t="s">
        <v>261</v>
      </c>
      <c r="H10" s="176" t="s">
        <v>381</v>
      </c>
      <c r="I10" s="25"/>
    </row>
    <row r="11" spans="1:9" ht="15" thickBot="1" x14ac:dyDescent="0.25">
      <c r="A11" s="16" t="s">
        <v>158</v>
      </c>
      <c r="C11" s="64"/>
      <c r="D11" s="38"/>
      <c r="E11" s="38"/>
      <c r="G11" s="132">
        <v>2010</v>
      </c>
      <c r="H11" s="177">
        <v>2020</v>
      </c>
      <c r="I11" s="25"/>
    </row>
    <row r="12" spans="1:9" x14ac:dyDescent="0.2">
      <c r="A12" s="1" t="s">
        <v>157</v>
      </c>
      <c r="B12" s="59">
        <f>D12/E12*100</f>
        <v>0.21181350505609797</v>
      </c>
      <c r="C12" s="59"/>
      <c r="D12" s="127">
        <f>'Tabell 7 ny'!G85</f>
        <v>11461</v>
      </c>
      <c r="E12" s="70">
        <f>SUM(D6:D10,D12)</f>
        <v>5410892</v>
      </c>
      <c r="G12" s="135">
        <v>98.865216753173883</v>
      </c>
      <c r="H12" s="178">
        <v>98</v>
      </c>
      <c r="I12" s="25"/>
    </row>
    <row r="13" spans="1:9" ht="14.25" x14ac:dyDescent="0.2">
      <c r="A13" t="s">
        <v>93</v>
      </c>
      <c r="C13" s="64"/>
      <c r="D13" s="38"/>
      <c r="E13" s="38"/>
      <c r="G13" s="135">
        <v>0.85285826936726206</v>
      </c>
      <c r="H13" s="178">
        <v>2</v>
      </c>
    </row>
    <row r="14" spans="1:9" ht="13.5" thickBot="1" x14ac:dyDescent="0.25">
      <c r="A14" t="s">
        <v>150</v>
      </c>
      <c r="B14" s="23">
        <f>D14/E14*100</f>
        <v>1.923350812335596</v>
      </c>
      <c r="C14" s="64"/>
      <c r="D14" s="44">
        <f>'Tabell 9'!C65</f>
        <v>103850</v>
      </c>
      <c r="E14" s="71">
        <f>D6+D8</f>
        <v>5399431</v>
      </c>
      <c r="G14" s="136">
        <v>0.28192497745886202</v>
      </c>
      <c r="H14" s="179" t="s">
        <v>375</v>
      </c>
    </row>
    <row r="15" spans="1:9" ht="15" thickBot="1" x14ac:dyDescent="0.25">
      <c r="A15" s="16" t="s">
        <v>196</v>
      </c>
      <c r="C15" s="64"/>
      <c r="D15" s="65"/>
      <c r="E15" s="71"/>
      <c r="G15" s="136">
        <v>0.41520590757201409</v>
      </c>
      <c r="H15" s="179">
        <v>0.2</v>
      </c>
    </row>
    <row r="16" spans="1:9" x14ac:dyDescent="0.2">
      <c r="A16" s="1" t="s">
        <v>154</v>
      </c>
      <c r="B16" s="59">
        <f>D16/E16*100</f>
        <v>1.8911251944880858</v>
      </c>
      <c r="C16" s="59"/>
      <c r="D16" s="42">
        <f>'Tabell 9'!K65</f>
        <v>102110</v>
      </c>
      <c r="E16" s="72">
        <f>E14</f>
        <v>5399431</v>
      </c>
      <c r="G16" s="135">
        <v>1.2613484926335872</v>
      </c>
      <c r="H16" s="178">
        <v>1.9</v>
      </c>
    </row>
    <row r="17" spans="1:9" x14ac:dyDescent="0.2">
      <c r="A17" s="61" t="s">
        <v>318</v>
      </c>
      <c r="B17" s="62">
        <f>D17/E17*100</f>
        <v>3.5456847847262809</v>
      </c>
      <c r="C17" s="62"/>
      <c r="D17" s="63">
        <f>'Tabell 12'!K19</f>
        <v>182</v>
      </c>
      <c r="E17" s="123">
        <f>E21+D17</f>
        <v>5133</v>
      </c>
      <c r="G17" s="135">
        <v>1.0047062339688149</v>
      </c>
      <c r="H17" s="178">
        <v>1.9</v>
      </c>
      <c r="I17" s="144"/>
    </row>
    <row r="18" spans="1:9" ht="13.5" thickBot="1" x14ac:dyDescent="0.25">
      <c r="A18" s="16" t="s">
        <v>234</v>
      </c>
      <c r="B18" s="64">
        <f>D18/E18*100</f>
        <v>25.530195920016158</v>
      </c>
      <c r="C18" s="64"/>
      <c r="D18" s="66">
        <f>'Tabell 12'!N19</f>
        <v>1264</v>
      </c>
      <c r="E18" s="44">
        <f>'Tabell 12'!M19</f>
        <v>4951</v>
      </c>
      <c r="G18" s="136">
        <v>1.5344042196116039</v>
      </c>
      <c r="H18" s="179">
        <v>3.5</v>
      </c>
    </row>
    <row r="19" spans="1:9" ht="14.25" x14ac:dyDescent="0.2">
      <c r="A19" s="1" t="s">
        <v>235</v>
      </c>
      <c r="B19" s="59">
        <f>D19/E19*100</f>
        <v>3.1450114473421347</v>
      </c>
      <c r="C19" s="59"/>
      <c r="D19" s="60">
        <f>'Tabell 2'!J86</f>
        <v>171752</v>
      </c>
      <c r="E19" s="72">
        <f>D6+D19</f>
        <v>5461093</v>
      </c>
      <c r="G19" s="135">
        <v>43.413683954224496</v>
      </c>
      <c r="H19" s="178">
        <v>25.5</v>
      </c>
      <c r="I19" s="144"/>
    </row>
    <row r="20" spans="1:9" ht="13.5" thickBot="1" x14ac:dyDescent="0.25">
      <c r="A20" t="s">
        <v>202</v>
      </c>
      <c r="C20" s="64"/>
      <c r="D20" s="53"/>
      <c r="E20" s="53"/>
      <c r="G20" s="136">
        <v>6.2629008193235958</v>
      </c>
      <c r="H20" s="179">
        <v>3.1</v>
      </c>
    </row>
    <row r="21" spans="1:9" x14ac:dyDescent="0.2">
      <c r="A21" t="s">
        <v>156</v>
      </c>
      <c r="B21" s="23">
        <f>D21/E21*100</f>
        <v>21.591597657038982</v>
      </c>
      <c r="C21" s="64"/>
      <c r="D21" s="44">
        <f>'Tabell 6'!E91</f>
        <v>1069</v>
      </c>
      <c r="E21" s="65">
        <f>E18</f>
        <v>4951</v>
      </c>
      <c r="G21" s="135">
        <v>4.6749452154857565</v>
      </c>
      <c r="H21" s="178">
        <v>21.6</v>
      </c>
    </row>
    <row r="22" spans="1:9" x14ac:dyDescent="0.2">
      <c r="A22" t="s">
        <v>203</v>
      </c>
      <c r="C22" s="64"/>
      <c r="D22" s="53"/>
      <c r="E22" s="53"/>
      <c r="G22" s="135">
        <v>8.6437789140491841</v>
      </c>
      <c r="H22" s="178">
        <v>5.9</v>
      </c>
    </row>
    <row r="23" spans="1:9" ht="13.5" thickBot="1" x14ac:dyDescent="0.25">
      <c r="A23" t="s">
        <v>155</v>
      </c>
      <c r="B23" s="23">
        <f>D23/E23*100</f>
        <v>5.9179963643708335</v>
      </c>
      <c r="C23" s="64"/>
      <c r="D23" s="44">
        <f>'Tabell 6'!F91</f>
        <v>293</v>
      </c>
      <c r="E23" s="65">
        <f>E18</f>
        <v>4951</v>
      </c>
      <c r="G23" s="136">
        <v>5.9897735573411248</v>
      </c>
      <c r="H23" s="179">
        <v>14.8</v>
      </c>
    </row>
    <row r="24" spans="1:9" ht="13.5" thickBot="1" x14ac:dyDescent="0.25">
      <c r="A24" s="16" t="s">
        <v>202</v>
      </c>
      <c r="C24" s="64"/>
      <c r="D24" s="53"/>
      <c r="E24" s="53"/>
      <c r="G24" s="136">
        <v>34.964521654024956</v>
      </c>
      <c r="H24" s="179">
        <v>45.8</v>
      </c>
    </row>
    <row r="25" spans="1:9" ht="13.5" thickBot="1" x14ac:dyDescent="0.25">
      <c r="A25" s="1" t="s">
        <v>94</v>
      </c>
      <c r="B25" s="59">
        <f>D25/E25*100</f>
        <v>14.764694001211875</v>
      </c>
      <c r="C25" s="59"/>
      <c r="D25" s="44">
        <f>'ny tabell 6 spes fastlønn'!$M$4</f>
        <v>731</v>
      </c>
      <c r="E25" s="70">
        <f>E18</f>
        <v>4951</v>
      </c>
      <c r="G25" s="133">
        <v>48.5</v>
      </c>
      <c r="H25" s="180">
        <v>47.2</v>
      </c>
    </row>
    <row r="26" spans="1:9" x14ac:dyDescent="0.2">
      <c r="A26" s="61" t="s">
        <v>62</v>
      </c>
      <c r="B26" s="62">
        <f t="shared" ref="B26:B32" si="0">D26/E26*100</f>
        <v>45.780933062880322</v>
      </c>
      <c r="C26" s="59"/>
      <c r="D26" s="63">
        <f>'Tabell 5'!C84</f>
        <v>2257</v>
      </c>
      <c r="E26" s="63">
        <f>'Tabell 5'!J84</f>
        <v>4930</v>
      </c>
      <c r="G26" s="141">
        <v>1.3457303645705898</v>
      </c>
      <c r="H26" s="181">
        <v>1.8</v>
      </c>
    </row>
    <row r="27" spans="1:9" x14ac:dyDescent="0.2">
      <c r="A27" s="19" t="s">
        <v>215</v>
      </c>
      <c r="B27" s="117">
        <v>47.2</v>
      </c>
      <c r="C27" s="64"/>
      <c r="D27" s="38"/>
      <c r="E27" s="38"/>
      <c r="G27" s="141">
        <v>24.492292635184732</v>
      </c>
      <c r="H27" s="181">
        <v>27.6</v>
      </c>
    </row>
    <row r="28" spans="1:9" x14ac:dyDescent="0.2">
      <c r="A28" t="s">
        <v>63</v>
      </c>
      <c r="B28" s="23">
        <f t="shared" si="0"/>
        <v>1.8255578093306288</v>
      </c>
      <c r="C28" s="64"/>
      <c r="D28" s="44">
        <f>'Tabell 5'!D84</f>
        <v>90</v>
      </c>
      <c r="E28" s="65">
        <f>E26</f>
        <v>4930</v>
      </c>
      <c r="G28" s="141">
        <v>40.102764864203571</v>
      </c>
      <c r="H28" s="181">
        <v>42</v>
      </c>
    </row>
    <row r="29" spans="1:9" x14ac:dyDescent="0.2">
      <c r="A29" t="s">
        <v>64</v>
      </c>
      <c r="B29" s="23">
        <f t="shared" si="0"/>
        <v>27.626774847870184</v>
      </c>
      <c r="C29" s="64"/>
      <c r="D29" s="44">
        <f>'Tabell 5'!E84</f>
        <v>1362</v>
      </c>
      <c r="E29" s="65">
        <f>E26</f>
        <v>4930</v>
      </c>
      <c r="G29" s="141">
        <v>32.150721800831903</v>
      </c>
      <c r="H29" s="181">
        <v>23.6</v>
      </c>
    </row>
    <row r="30" spans="1:9" ht="13.5" thickBot="1" x14ac:dyDescent="0.25">
      <c r="A30" t="s">
        <v>65</v>
      </c>
      <c r="B30" s="23">
        <f t="shared" si="0"/>
        <v>42.00811359026369</v>
      </c>
      <c r="C30" s="64"/>
      <c r="D30" s="44">
        <f>'Tabell 5'!F84</f>
        <v>2071</v>
      </c>
      <c r="E30" s="65">
        <f>E26</f>
        <v>4930</v>
      </c>
      <c r="G30" s="142">
        <v>1.9084903352091998</v>
      </c>
      <c r="H30" s="180">
        <v>4.9000000000000004</v>
      </c>
    </row>
    <row r="31" spans="1:9" ht="15.75" x14ac:dyDescent="0.2">
      <c r="A31" t="s">
        <v>66</v>
      </c>
      <c r="B31" s="23">
        <f t="shared" si="0"/>
        <v>23.6105476673428</v>
      </c>
      <c r="C31" s="64"/>
      <c r="D31" s="44">
        <f>'Tabell 5'!G84</f>
        <v>1164</v>
      </c>
      <c r="E31" s="65">
        <f>E26</f>
        <v>4930</v>
      </c>
      <c r="G31" s="139"/>
      <c r="H31" s="181">
        <v>63.2</v>
      </c>
    </row>
    <row r="32" spans="1:9" ht="15.75" x14ac:dyDescent="0.2">
      <c r="A32" s="1" t="s">
        <v>67</v>
      </c>
      <c r="B32" s="59">
        <f t="shared" si="0"/>
        <v>4.9290060851926976</v>
      </c>
      <c r="C32" s="59"/>
      <c r="D32" s="42">
        <f>'Tabell 5'!H84</f>
        <v>243</v>
      </c>
      <c r="E32" s="65">
        <f>E26</f>
        <v>4930</v>
      </c>
      <c r="G32" s="139"/>
      <c r="H32" s="181">
        <v>2.8</v>
      </c>
    </row>
    <row r="33" spans="1:9" ht="16.5" thickBot="1" x14ac:dyDescent="0.25">
      <c r="A33" t="s">
        <v>305</v>
      </c>
      <c r="B33" s="23"/>
      <c r="C33" s="64"/>
      <c r="D33" s="65"/>
      <c r="E33" s="65"/>
      <c r="G33" s="140"/>
      <c r="H33" s="180">
        <v>2.6</v>
      </c>
    </row>
    <row r="34" spans="1:9" ht="13.5" thickBot="1" x14ac:dyDescent="0.25">
      <c r="A34" t="s">
        <v>151</v>
      </c>
      <c r="B34" s="174">
        <f>'Tabell 6'!I91</f>
        <v>63.158957786305791</v>
      </c>
      <c r="C34" s="114"/>
      <c r="D34" s="57"/>
      <c r="E34" s="65">
        <f>E18</f>
        <v>4951</v>
      </c>
      <c r="G34" s="133"/>
      <c r="H34" s="182" t="s">
        <v>361</v>
      </c>
    </row>
    <row r="35" spans="1:9" ht="13.5" thickBot="1" x14ac:dyDescent="0.25">
      <c r="A35" t="s">
        <v>305</v>
      </c>
      <c r="B35" s="65"/>
      <c r="C35" s="114"/>
      <c r="D35" s="65"/>
      <c r="E35" s="65"/>
      <c r="G35" s="134">
        <v>108</v>
      </c>
      <c r="H35" s="183" t="s">
        <v>361</v>
      </c>
      <c r="I35" s="53"/>
    </row>
    <row r="36" spans="1:9" ht="13.5" thickTop="1" x14ac:dyDescent="0.2">
      <c r="A36" t="s">
        <v>152</v>
      </c>
      <c r="B36" s="174">
        <f>'Tabell 6'!J91</f>
        <v>2.8277115734195113</v>
      </c>
      <c r="C36" s="114"/>
      <c r="D36" s="57"/>
      <c r="E36" s="65">
        <f>E18</f>
        <v>4951</v>
      </c>
      <c r="H36" s="137"/>
    </row>
    <row r="37" spans="1:9" x14ac:dyDescent="0.2">
      <c r="A37" s="16" t="s">
        <v>306</v>
      </c>
      <c r="B37" s="65"/>
      <c r="C37" s="114"/>
      <c r="D37" s="65"/>
      <c r="E37" s="65"/>
      <c r="H37" s="137"/>
    </row>
    <row r="38" spans="1:9" x14ac:dyDescent="0.2">
      <c r="A38" s="1" t="s">
        <v>153</v>
      </c>
      <c r="B38" s="175">
        <f>'Tabell 6'!K91</f>
        <v>2.6257321753181175</v>
      </c>
      <c r="C38" s="119"/>
      <c r="D38" s="121"/>
      <c r="E38" s="70">
        <f>E18</f>
        <v>4951</v>
      </c>
    </row>
    <row r="39" spans="1:9" x14ac:dyDescent="0.2">
      <c r="A39" t="s">
        <v>98</v>
      </c>
      <c r="I39" s="25"/>
    </row>
    <row r="40" spans="1:9" x14ac:dyDescent="0.2">
      <c r="A40" t="s">
        <v>97</v>
      </c>
    </row>
    <row r="41" spans="1:9" x14ac:dyDescent="0.2">
      <c r="A41" t="s">
        <v>99</v>
      </c>
    </row>
    <row r="42" spans="1:9" x14ac:dyDescent="0.2">
      <c r="A42" t="s">
        <v>100</v>
      </c>
    </row>
    <row r="43" spans="1:9" x14ac:dyDescent="0.2">
      <c r="A43" t="s">
        <v>237</v>
      </c>
    </row>
    <row r="44" spans="1:9" x14ac:dyDescent="0.2">
      <c r="A44" t="s">
        <v>238</v>
      </c>
    </row>
    <row r="45" spans="1:9" x14ac:dyDescent="0.2">
      <c r="A45" t="s">
        <v>236</v>
      </c>
    </row>
    <row r="46" spans="1:9" x14ac:dyDescent="0.2">
      <c r="A46" s="53" t="s">
        <v>106</v>
      </c>
    </row>
  </sheetData>
  <phoneticPr fontId="0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5"/>
  <sheetViews>
    <sheetView workbookViewId="0">
      <pane ySplit="8" topLeftCell="A54" activePane="bottomLeft" state="frozen"/>
      <selection pane="bottomLeft" activeCell="A83" sqref="A83:F83"/>
    </sheetView>
  </sheetViews>
  <sheetFormatPr baseColWidth="10" defaultRowHeight="12.75" x14ac:dyDescent="0.2"/>
  <cols>
    <col min="1" max="1" width="13.28515625" customWidth="1"/>
    <col min="2" max="3" width="13" customWidth="1"/>
    <col min="4" max="4" width="16.5703125" customWidth="1"/>
    <col min="5" max="5" width="12.42578125" customWidth="1"/>
    <col min="6" max="6" width="13" customWidth="1"/>
    <col min="7" max="9" width="9.7109375" customWidth="1"/>
  </cols>
  <sheetData>
    <row r="1" spans="1:6" x14ac:dyDescent="0.2">
      <c r="A1" s="26" t="s">
        <v>124</v>
      </c>
    </row>
    <row r="2" spans="1:6" x14ac:dyDescent="0.2">
      <c r="A2" s="26"/>
    </row>
    <row r="3" spans="1:6" x14ac:dyDescent="0.2">
      <c r="A3" s="32"/>
      <c r="D3" s="13" t="s">
        <v>10</v>
      </c>
      <c r="E3" s="13" t="s">
        <v>10</v>
      </c>
      <c r="F3" s="13" t="s">
        <v>10</v>
      </c>
    </row>
    <row r="4" spans="1:6" x14ac:dyDescent="0.2">
      <c r="A4" s="32"/>
      <c r="D4" s="13" t="s">
        <v>43</v>
      </c>
      <c r="E4" s="13" t="s">
        <v>43</v>
      </c>
      <c r="F4" s="13" t="s">
        <v>43</v>
      </c>
    </row>
    <row r="5" spans="1:6" x14ac:dyDescent="0.2">
      <c r="A5" s="32"/>
      <c r="B5" s="13"/>
      <c r="C5" s="13" t="s">
        <v>10</v>
      </c>
      <c r="D5" s="13" t="s">
        <v>184</v>
      </c>
      <c r="E5" s="13" t="s">
        <v>184</v>
      </c>
      <c r="F5" s="13" t="s">
        <v>183</v>
      </c>
    </row>
    <row r="6" spans="1:6" x14ac:dyDescent="0.2">
      <c r="A6" s="32"/>
      <c r="B6" s="13" t="s">
        <v>126</v>
      </c>
      <c r="C6" s="13" t="s">
        <v>125</v>
      </c>
      <c r="D6" s="13" t="s">
        <v>185</v>
      </c>
      <c r="E6" s="13" t="s">
        <v>127</v>
      </c>
      <c r="F6" s="13" t="s">
        <v>128</v>
      </c>
    </row>
    <row r="7" spans="1:6" x14ac:dyDescent="0.2">
      <c r="A7" s="32"/>
      <c r="B7" s="236" t="s">
        <v>79</v>
      </c>
      <c r="C7" s="96" t="s">
        <v>79</v>
      </c>
      <c r="D7" s="236" t="s">
        <v>55</v>
      </c>
      <c r="E7" s="96" t="s">
        <v>55</v>
      </c>
      <c r="F7" s="96" t="s">
        <v>129</v>
      </c>
    </row>
    <row r="8" spans="1:6" x14ac:dyDescent="0.2">
      <c r="A8" s="95"/>
      <c r="B8" s="12" t="s">
        <v>374</v>
      </c>
      <c r="C8" s="96"/>
      <c r="D8" s="12"/>
      <c r="E8" s="96"/>
      <c r="F8" s="96"/>
    </row>
    <row r="9" spans="1:6" x14ac:dyDescent="0.2">
      <c r="A9" s="37" t="s">
        <v>130</v>
      </c>
      <c r="B9" s="39">
        <v>90</v>
      </c>
      <c r="C9" s="39">
        <v>39</v>
      </c>
      <c r="D9" s="39">
        <v>2108</v>
      </c>
      <c r="E9" s="39">
        <v>1274</v>
      </c>
      <c r="F9" s="39">
        <v>337</v>
      </c>
    </row>
    <row r="10" spans="1:6" x14ac:dyDescent="0.2">
      <c r="A10" s="37" t="s">
        <v>131</v>
      </c>
      <c r="B10" s="39">
        <v>58</v>
      </c>
      <c r="C10" s="39">
        <v>35</v>
      </c>
      <c r="D10" s="39">
        <v>1433</v>
      </c>
      <c r="E10" s="66">
        <v>472</v>
      </c>
      <c r="F10" s="39">
        <v>62</v>
      </c>
    </row>
    <row r="11" spans="1:6" x14ac:dyDescent="0.2">
      <c r="A11" s="37" t="s">
        <v>132</v>
      </c>
      <c r="B11" s="39">
        <v>88</v>
      </c>
      <c r="C11" s="39">
        <v>60</v>
      </c>
      <c r="D11" s="39">
        <v>1003</v>
      </c>
      <c r="E11" s="39">
        <v>533</v>
      </c>
      <c r="F11" s="39">
        <v>25</v>
      </c>
    </row>
    <row r="12" spans="1:6" x14ac:dyDescent="0.2">
      <c r="A12" s="37" t="s">
        <v>133</v>
      </c>
      <c r="B12" s="66">
        <v>41</v>
      </c>
      <c r="C12" s="66">
        <v>43</v>
      </c>
      <c r="D12" s="66">
        <v>796</v>
      </c>
      <c r="E12" s="43">
        <v>452</v>
      </c>
      <c r="F12" s="43">
        <v>48</v>
      </c>
    </row>
    <row r="13" spans="1:6" x14ac:dyDescent="0.2">
      <c r="A13" s="37" t="s">
        <v>134</v>
      </c>
      <c r="B13" s="66">
        <v>78</v>
      </c>
      <c r="C13" s="66">
        <v>67</v>
      </c>
      <c r="D13" s="66">
        <v>613</v>
      </c>
      <c r="E13" s="43">
        <v>893</v>
      </c>
      <c r="F13" s="43">
        <v>40</v>
      </c>
    </row>
    <row r="14" spans="1:6" s="16" customFormat="1" x14ac:dyDescent="0.2">
      <c r="A14" s="37" t="s">
        <v>135</v>
      </c>
      <c r="B14" s="66">
        <v>55</v>
      </c>
      <c r="C14" s="66">
        <v>57</v>
      </c>
      <c r="D14" s="66">
        <v>791</v>
      </c>
      <c r="E14" s="43">
        <v>1352</v>
      </c>
      <c r="F14" s="43">
        <v>40</v>
      </c>
    </row>
    <row r="15" spans="1:6" s="16" customFormat="1" x14ac:dyDescent="0.2">
      <c r="A15" s="37" t="s">
        <v>136</v>
      </c>
      <c r="B15" s="66">
        <v>68</v>
      </c>
      <c r="C15" s="66">
        <v>64</v>
      </c>
      <c r="D15" s="66">
        <v>618</v>
      </c>
      <c r="E15" s="43">
        <v>1210</v>
      </c>
      <c r="F15" s="43">
        <v>61</v>
      </c>
    </row>
    <row r="16" spans="1:6" x14ac:dyDescent="0.2">
      <c r="A16" s="37" t="s">
        <v>137</v>
      </c>
      <c r="B16" s="66">
        <v>52</v>
      </c>
      <c r="C16" s="66">
        <v>58</v>
      </c>
      <c r="D16" s="66">
        <v>581</v>
      </c>
      <c r="E16" s="43">
        <v>937</v>
      </c>
      <c r="F16" s="43">
        <v>770</v>
      </c>
    </row>
    <row r="17" spans="1:6" x14ac:dyDescent="0.2">
      <c r="A17" s="37" t="s">
        <v>173</v>
      </c>
      <c r="B17" s="66">
        <v>70</v>
      </c>
      <c r="C17" s="66">
        <v>62</v>
      </c>
      <c r="D17" s="66">
        <v>507</v>
      </c>
      <c r="E17" s="43">
        <v>1090</v>
      </c>
      <c r="F17" s="43">
        <v>26</v>
      </c>
    </row>
    <row r="18" spans="1:6" x14ac:dyDescent="0.2">
      <c r="A18" s="37" t="s">
        <v>174</v>
      </c>
      <c r="B18" s="66">
        <v>65</v>
      </c>
      <c r="C18" s="66">
        <v>62</v>
      </c>
      <c r="D18" s="66">
        <v>742</v>
      </c>
      <c r="E18" s="43">
        <v>1213</v>
      </c>
      <c r="F18" s="43">
        <v>55</v>
      </c>
    </row>
    <row r="19" spans="1:6" x14ac:dyDescent="0.2">
      <c r="A19" s="37" t="s">
        <v>180</v>
      </c>
      <c r="B19" s="66">
        <v>58</v>
      </c>
      <c r="C19" s="66">
        <v>48</v>
      </c>
      <c r="D19" s="66">
        <v>580</v>
      </c>
      <c r="E19" s="43">
        <v>1190</v>
      </c>
      <c r="F19" s="43">
        <v>40</v>
      </c>
    </row>
    <row r="20" spans="1:6" x14ac:dyDescent="0.2">
      <c r="A20" s="37" t="s">
        <v>181</v>
      </c>
      <c r="B20" s="66">
        <v>67</v>
      </c>
      <c r="C20" s="66">
        <v>55</v>
      </c>
      <c r="D20" s="66">
        <v>607</v>
      </c>
      <c r="E20" s="43">
        <v>1340</v>
      </c>
      <c r="F20" s="43">
        <v>44</v>
      </c>
    </row>
    <row r="21" spans="1:6" x14ac:dyDescent="0.2">
      <c r="A21" s="37" t="s">
        <v>182</v>
      </c>
      <c r="B21" s="66">
        <v>67</v>
      </c>
      <c r="C21" s="66">
        <v>59</v>
      </c>
      <c r="D21" s="66">
        <v>517</v>
      </c>
      <c r="E21" s="43">
        <v>1173</v>
      </c>
      <c r="F21" s="43">
        <v>30</v>
      </c>
    </row>
    <row r="22" spans="1:6" x14ac:dyDescent="0.2">
      <c r="A22" s="37" t="s">
        <v>187</v>
      </c>
      <c r="B22" s="66">
        <v>70</v>
      </c>
      <c r="C22" s="66">
        <v>59</v>
      </c>
      <c r="D22" s="66">
        <v>646</v>
      </c>
      <c r="E22" s="43">
        <v>1008</v>
      </c>
      <c r="F22" s="43">
        <v>55</v>
      </c>
    </row>
    <row r="23" spans="1:6" x14ac:dyDescent="0.2">
      <c r="A23" s="37" t="s">
        <v>188</v>
      </c>
      <c r="B23" s="66">
        <v>60</v>
      </c>
      <c r="C23" s="66">
        <v>53</v>
      </c>
      <c r="D23" s="66">
        <v>543</v>
      </c>
      <c r="E23" s="43">
        <v>714</v>
      </c>
      <c r="F23" s="43">
        <v>74</v>
      </c>
    </row>
    <row r="24" spans="1:6" x14ac:dyDescent="0.2">
      <c r="A24" s="37" t="s">
        <v>189</v>
      </c>
      <c r="B24" s="66">
        <v>56</v>
      </c>
      <c r="C24" s="66">
        <v>48</v>
      </c>
      <c r="D24" s="66">
        <v>541</v>
      </c>
      <c r="E24" s="43">
        <v>819</v>
      </c>
      <c r="F24" s="43">
        <v>40</v>
      </c>
    </row>
    <row r="25" spans="1:6" x14ac:dyDescent="0.2">
      <c r="A25" s="37" t="s">
        <v>190</v>
      </c>
      <c r="B25" s="66">
        <v>65</v>
      </c>
      <c r="C25" s="66">
        <v>69</v>
      </c>
      <c r="D25" s="66">
        <v>493</v>
      </c>
      <c r="E25" s="43">
        <v>1026</v>
      </c>
      <c r="F25" s="43">
        <v>31</v>
      </c>
    </row>
    <row r="26" spans="1:6" x14ac:dyDescent="0.2">
      <c r="A26" s="37" t="s">
        <v>191</v>
      </c>
      <c r="B26" s="66">
        <v>69</v>
      </c>
      <c r="C26" s="66">
        <v>76</v>
      </c>
      <c r="D26" s="66">
        <v>931</v>
      </c>
      <c r="E26" s="43">
        <v>908</v>
      </c>
      <c r="F26" s="43">
        <v>44</v>
      </c>
    </row>
    <row r="27" spans="1:6" x14ac:dyDescent="0.2">
      <c r="A27" s="37" t="s">
        <v>212</v>
      </c>
      <c r="B27" s="66">
        <v>88</v>
      </c>
      <c r="C27" s="66">
        <v>55</v>
      </c>
      <c r="D27" s="66">
        <v>934</v>
      </c>
      <c r="E27" s="43">
        <v>866</v>
      </c>
      <c r="F27" s="43">
        <v>45</v>
      </c>
    </row>
    <row r="28" spans="1:6" x14ac:dyDescent="0.2">
      <c r="A28" s="37" t="s">
        <v>214</v>
      </c>
      <c r="B28" s="66">
        <v>58</v>
      </c>
      <c r="C28" s="66">
        <v>44</v>
      </c>
      <c r="D28" s="66">
        <v>812</v>
      </c>
      <c r="E28" s="43">
        <v>768</v>
      </c>
      <c r="F28" s="43">
        <v>33</v>
      </c>
    </row>
    <row r="29" spans="1:6" x14ac:dyDescent="0.2">
      <c r="A29" s="37" t="s">
        <v>220</v>
      </c>
      <c r="B29" s="66">
        <v>68</v>
      </c>
      <c r="C29" s="66">
        <v>51</v>
      </c>
      <c r="D29" s="66">
        <v>709</v>
      </c>
      <c r="E29" s="43">
        <v>763</v>
      </c>
      <c r="F29" s="43">
        <v>42</v>
      </c>
    </row>
    <row r="30" spans="1:6" x14ac:dyDescent="0.2">
      <c r="A30" s="37" t="s">
        <v>221</v>
      </c>
      <c r="B30" s="66">
        <v>60</v>
      </c>
      <c r="C30" s="66">
        <v>46</v>
      </c>
      <c r="D30" s="66">
        <v>1009</v>
      </c>
      <c r="E30" s="43">
        <v>1090</v>
      </c>
      <c r="F30" s="43">
        <v>31</v>
      </c>
    </row>
    <row r="31" spans="1:6" x14ac:dyDescent="0.2">
      <c r="A31" s="37" t="s">
        <v>223</v>
      </c>
      <c r="B31" s="66">
        <v>71</v>
      </c>
      <c r="C31" s="66">
        <v>65</v>
      </c>
      <c r="D31" s="66">
        <v>952</v>
      </c>
      <c r="E31" s="43">
        <v>1038</v>
      </c>
      <c r="F31" s="43">
        <v>51</v>
      </c>
    </row>
    <row r="32" spans="1:6" x14ac:dyDescent="0.2">
      <c r="A32" s="37" t="s">
        <v>225</v>
      </c>
      <c r="B32" s="66">
        <v>48</v>
      </c>
      <c r="C32" s="66">
        <v>35</v>
      </c>
      <c r="D32" s="66">
        <v>900</v>
      </c>
      <c r="E32" s="43">
        <v>702</v>
      </c>
      <c r="F32" s="43">
        <v>28</v>
      </c>
    </row>
    <row r="33" spans="1:6" x14ac:dyDescent="0.2">
      <c r="A33" s="37" t="s">
        <v>226</v>
      </c>
      <c r="B33" s="66">
        <v>66</v>
      </c>
      <c r="C33" s="66">
        <v>57</v>
      </c>
      <c r="D33" s="66">
        <v>730</v>
      </c>
      <c r="E33" s="43">
        <v>837</v>
      </c>
      <c r="F33" s="43">
        <v>30</v>
      </c>
    </row>
    <row r="34" spans="1:6" x14ac:dyDescent="0.2">
      <c r="A34" s="37" t="s">
        <v>227</v>
      </c>
      <c r="B34" s="66">
        <v>96</v>
      </c>
      <c r="C34" s="66">
        <v>76</v>
      </c>
      <c r="D34" s="66">
        <v>1047</v>
      </c>
      <c r="E34" s="43">
        <v>803</v>
      </c>
      <c r="F34" s="43">
        <v>25</v>
      </c>
    </row>
    <row r="35" spans="1:6" x14ac:dyDescent="0.2">
      <c r="A35" s="37" t="s">
        <v>247</v>
      </c>
      <c r="B35" s="66">
        <v>81</v>
      </c>
      <c r="C35" s="66">
        <v>53</v>
      </c>
      <c r="D35" s="66">
        <v>966</v>
      </c>
      <c r="E35" s="43">
        <v>741</v>
      </c>
      <c r="F35" s="43">
        <v>18</v>
      </c>
    </row>
    <row r="36" spans="1:6" x14ac:dyDescent="0.2">
      <c r="A36" s="37" t="s">
        <v>248</v>
      </c>
      <c r="B36" s="66">
        <v>60</v>
      </c>
      <c r="C36" s="66">
        <v>48</v>
      </c>
      <c r="D36" s="66">
        <v>958</v>
      </c>
      <c r="E36" s="43">
        <v>756</v>
      </c>
      <c r="F36" s="43">
        <v>20</v>
      </c>
    </row>
    <row r="37" spans="1:6" x14ac:dyDescent="0.2">
      <c r="A37" s="37" t="s">
        <v>249</v>
      </c>
      <c r="B37" s="66">
        <v>67</v>
      </c>
      <c r="C37" s="66">
        <v>50</v>
      </c>
      <c r="D37" s="66">
        <v>990</v>
      </c>
      <c r="E37" s="43">
        <v>708</v>
      </c>
      <c r="F37" s="43">
        <v>29</v>
      </c>
    </row>
    <row r="38" spans="1:6" x14ac:dyDescent="0.2">
      <c r="A38" s="37" t="s">
        <v>250</v>
      </c>
      <c r="B38" s="66">
        <v>79</v>
      </c>
      <c r="C38" s="66">
        <v>62</v>
      </c>
      <c r="D38" s="66">
        <v>1440</v>
      </c>
      <c r="E38" s="43">
        <v>722</v>
      </c>
      <c r="F38" s="43">
        <v>24</v>
      </c>
    </row>
    <row r="39" spans="1:6" x14ac:dyDescent="0.2">
      <c r="A39" s="37" t="s">
        <v>251</v>
      </c>
      <c r="B39" s="66">
        <v>84</v>
      </c>
      <c r="C39" s="66">
        <v>63</v>
      </c>
      <c r="D39" s="66">
        <v>1210</v>
      </c>
      <c r="E39" s="43">
        <v>943</v>
      </c>
      <c r="F39" s="43">
        <v>36</v>
      </c>
    </row>
    <row r="40" spans="1:6" x14ac:dyDescent="0.2">
      <c r="A40" s="37" t="s">
        <v>252</v>
      </c>
      <c r="B40" s="66">
        <v>58</v>
      </c>
      <c r="C40" s="66">
        <v>35</v>
      </c>
      <c r="D40" s="66">
        <v>971</v>
      </c>
      <c r="E40" s="43">
        <v>865</v>
      </c>
      <c r="F40" s="43">
        <v>68</v>
      </c>
    </row>
    <row r="41" spans="1:6" x14ac:dyDescent="0.2">
      <c r="A41" s="37" t="s">
        <v>253</v>
      </c>
      <c r="B41" s="66">
        <v>76</v>
      </c>
      <c r="C41" s="66">
        <v>53</v>
      </c>
      <c r="D41" s="66">
        <v>931</v>
      </c>
      <c r="E41" s="43">
        <v>849</v>
      </c>
      <c r="F41" s="43">
        <v>43</v>
      </c>
    </row>
    <row r="42" spans="1:6" x14ac:dyDescent="0.2">
      <c r="A42" s="37" t="s">
        <v>256</v>
      </c>
      <c r="B42" s="66">
        <v>62</v>
      </c>
      <c r="C42" s="66">
        <v>48</v>
      </c>
      <c r="D42" s="66">
        <v>997</v>
      </c>
      <c r="E42" s="43">
        <v>730</v>
      </c>
      <c r="F42" s="43">
        <v>1228</v>
      </c>
    </row>
    <row r="43" spans="1:6" x14ac:dyDescent="0.2">
      <c r="A43" s="37" t="s">
        <v>257</v>
      </c>
      <c r="B43" s="66">
        <v>79</v>
      </c>
      <c r="C43" s="66">
        <v>57</v>
      </c>
      <c r="D43" s="66">
        <v>823</v>
      </c>
      <c r="E43" s="43">
        <v>947</v>
      </c>
      <c r="F43" s="43">
        <v>52</v>
      </c>
    </row>
    <row r="44" spans="1:6" x14ac:dyDescent="0.2">
      <c r="A44" s="37" t="s">
        <v>260</v>
      </c>
      <c r="B44" s="66">
        <v>79</v>
      </c>
      <c r="C44" s="66">
        <v>58</v>
      </c>
      <c r="D44" s="66">
        <v>744</v>
      </c>
      <c r="E44" s="43">
        <v>988</v>
      </c>
      <c r="F44" s="43">
        <v>39</v>
      </c>
    </row>
    <row r="45" spans="1:6" x14ac:dyDescent="0.2">
      <c r="A45" s="37" t="s">
        <v>262</v>
      </c>
      <c r="B45" s="66">
        <v>94</v>
      </c>
      <c r="C45" s="66">
        <v>74</v>
      </c>
      <c r="D45" s="66">
        <v>749</v>
      </c>
      <c r="E45" s="43">
        <v>1074</v>
      </c>
      <c r="F45" s="43">
        <v>60</v>
      </c>
    </row>
    <row r="46" spans="1:6" x14ac:dyDescent="0.2">
      <c r="A46" s="37" t="s">
        <v>263</v>
      </c>
      <c r="B46" s="66">
        <v>71</v>
      </c>
      <c r="C46" s="66">
        <v>69</v>
      </c>
      <c r="D46" s="66">
        <v>911</v>
      </c>
      <c r="E46" s="43">
        <v>787</v>
      </c>
      <c r="F46" s="43">
        <v>64</v>
      </c>
    </row>
    <row r="47" spans="1:6" x14ac:dyDescent="0.2">
      <c r="A47" s="37" t="s">
        <v>264</v>
      </c>
      <c r="B47" s="66">
        <v>99</v>
      </c>
      <c r="C47" s="66">
        <v>69</v>
      </c>
      <c r="D47" s="66">
        <v>934</v>
      </c>
      <c r="E47" s="43">
        <v>1090</v>
      </c>
      <c r="F47" s="43">
        <v>70</v>
      </c>
    </row>
    <row r="48" spans="1:6" x14ac:dyDescent="0.2">
      <c r="A48" s="37" t="s">
        <v>265</v>
      </c>
      <c r="B48" s="66">
        <v>88</v>
      </c>
      <c r="C48" s="66">
        <v>61</v>
      </c>
      <c r="D48" s="66">
        <v>812</v>
      </c>
      <c r="E48" s="43">
        <v>947</v>
      </c>
      <c r="F48" s="43">
        <v>26</v>
      </c>
    </row>
    <row r="49" spans="1:6" x14ac:dyDescent="0.2">
      <c r="A49" s="37" t="s">
        <v>266</v>
      </c>
      <c r="B49" s="66">
        <v>84</v>
      </c>
      <c r="C49" s="66">
        <v>72</v>
      </c>
      <c r="D49" s="66">
        <v>727</v>
      </c>
      <c r="E49" s="43">
        <v>742</v>
      </c>
      <c r="F49" s="43">
        <v>23</v>
      </c>
    </row>
    <row r="50" spans="1:6" x14ac:dyDescent="0.2">
      <c r="A50" s="37" t="s">
        <v>267</v>
      </c>
      <c r="B50" s="66">
        <v>68</v>
      </c>
      <c r="C50" s="66">
        <v>54</v>
      </c>
      <c r="D50" s="66">
        <v>837</v>
      </c>
      <c r="E50" s="43">
        <v>910</v>
      </c>
      <c r="F50" s="43">
        <v>28</v>
      </c>
    </row>
    <row r="51" spans="1:6" x14ac:dyDescent="0.2">
      <c r="A51" s="37" t="s">
        <v>268</v>
      </c>
      <c r="B51" s="66">
        <v>97</v>
      </c>
      <c r="C51" s="66">
        <v>64</v>
      </c>
      <c r="D51" s="66">
        <v>871</v>
      </c>
      <c r="E51" s="43">
        <v>1017</v>
      </c>
      <c r="F51" s="43">
        <v>18</v>
      </c>
    </row>
    <row r="52" spans="1:6" x14ac:dyDescent="0.2">
      <c r="A52" s="37" t="s">
        <v>269</v>
      </c>
      <c r="B52" s="66">
        <v>80</v>
      </c>
      <c r="C52" s="66">
        <v>58</v>
      </c>
      <c r="D52" s="66">
        <v>742</v>
      </c>
      <c r="E52" s="43">
        <v>1073</v>
      </c>
      <c r="F52" s="43">
        <v>15</v>
      </c>
    </row>
    <row r="53" spans="1:6" x14ac:dyDescent="0.2">
      <c r="A53" s="37" t="s">
        <v>270</v>
      </c>
      <c r="B53" s="66">
        <v>81</v>
      </c>
      <c r="C53" s="66">
        <v>64</v>
      </c>
      <c r="D53" s="66">
        <v>720</v>
      </c>
      <c r="E53" s="43">
        <v>1040</v>
      </c>
      <c r="F53" s="43">
        <v>24</v>
      </c>
    </row>
    <row r="54" spans="1:6" x14ac:dyDescent="0.2">
      <c r="A54" s="37" t="s">
        <v>271</v>
      </c>
      <c r="B54" s="66">
        <v>94</v>
      </c>
      <c r="C54" s="66">
        <v>79</v>
      </c>
      <c r="D54" s="66">
        <v>893</v>
      </c>
      <c r="E54" s="43">
        <v>713</v>
      </c>
      <c r="F54" s="43">
        <v>31</v>
      </c>
    </row>
    <row r="55" spans="1:6" x14ac:dyDescent="0.2">
      <c r="A55" s="37" t="s">
        <v>272</v>
      </c>
      <c r="B55" s="66">
        <v>81</v>
      </c>
      <c r="C55" s="66">
        <v>67</v>
      </c>
      <c r="D55" s="66">
        <v>971</v>
      </c>
      <c r="E55" s="43">
        <v>821</v>
      </c>
      <c r="F55" s="43">
        <v>33</v>
      </c>
    </row>
    <row r="56" spans="1:6" x14ac:dyDescent="0.2">
      <c r="A56" s="37" t="s">
        <v>273</v>
      </c>
      <c r="B56" s="66">
        <v>96</v>
      </c>
      <c r="C56" s="66">
        <v>73</v>
      </c>
      <c r="D56" s="66">
        <v>791</v>
      </c>
      <c r="E56" s="43">
        <v>938</v>
      </c>
      <c r="F56" s="43">
        <v>38</v>
      </c>
    </row>
    <row r="57" spans="1:6" x14ac:dyDescent="0.2">
      <c r="A57" s="37" t="s">
        <v>274</v>
      </c>
      <c r="B57" s="66">
        <v>155</v>
      </c>
      <c r="C57" s="66">
        <v>104</v>
      </c>
      <c r="D57" s="66">
        <v>778</v>
      </c>
      <c r="E57" s="43">
        <v>705</v>
      </c>
      <c r="F57" s="43">
        <v>32</v>
      </c>
    </row>
    <row r="58" spans="1:6" x14ac:dyDescent="0.2">
      <c r="A58" s="37" t="s">
        <v>275</v>
      </c>
      <c r="B58" s="66">
        <v>87</v>
      </c>
      <c r="C58" s="66">
        <v>67</v>
      </c>
      <c r="D58" s="66">
        <v>932</v>
      </c>
      <c r="E58" s="43">
        <v>859</v>
      </c>
      <c r="F58" s="43">
        <v>22</v>
      </c>
    </row>
    <row r="59" spans="1:6" x14ac:dyDescent="0.2">
      <c r="A59" s="37" t="s">
        <v>276</v>
      </c>
      <c r="B59" s="66">
        <v>114</v>
      </c>
      <c r="C59" s="66">
        <v>72</v>
      </c>
      <c r="D59" s="66">
        <v>871</v>
      </c>
      <c r="E59" s="43">
        <v>1069</v>
      </c>
      <c r="F59" s="43">
        <v>25</v>
      </c>
    </row>
    <row r="60" spans="1:6" x14ac:dyDescent="0.2">
      <c r="A60" s="37" t="s">
        <v>278</v>
      </c>
      <c r="B60" s="66">
        <v>102</v>
      </c>
      <c r="C60" s="66">
        <v>58</v>
      </c>
      <c r="D60" s="66">
        <v>845</v>
      </c>
      <c r="E60" s="43">
        <v>782</v>
      </c>
      <c r="F60" s="43">
        <v>16</v>
      </c>
    </row>
    <row r="61" spans="1:6" x14ac:dyDescent="0.2">
      <c r="A61" s="37" t="s">
        <v>279</v>
      </c>
      <c r="B61" s="66">
        <v>107</v>
      </c>
      <c r="C61" s="66">
        <v>87</v>
      </c>
      <c r="D61" s="66">
        <v>692</v>
      </c>
      <c r="E61" s="43">
        <v>788</v>
      </c>
      <c r="F61" s="43">
        <v>26</v>
      </c>
    </row>
    <row r="62" spans="1:6" x14ac:dyDescent="0.2">
      <c r="A62" s="37" t="s">
        <v>280</v>
      </c>
      <c r="B62" s="66">
        <v>87</v>
      </c>
      <c r="C62" s="66">
        <v>59</v>
      </c>
      <c r="D62" s="66">
        <v>909</v>
      </c>
      <c r="E62" s="43">
        <v>865</v>
      </c>
      <c r="F62" s="43">
        <v>36</v>
      </c>
    </row>
    <row r="63" spans="1:6" x14ac:dyDescent="0.2">
      <c r="A63" s="37" t="s">
        <v>281</v>
      </c>
      <c r="B63" s="66">
        <v>91</v>
      </c>
      <c r="C63" s="66">
        <v>72</v>
      </c>
      <c r="D63" s="66">
        <v>940</v>
      </c>
      <c r="E63" s="43">
        <v>1020</v>
      </c>
      <c r="F63" s="43">
        <v>30</v>
      </c>
    </row>
    <row r="64" spans="1:6" x14ac:dyDescent="0.2">
      <c r="A64" s="37" t="s">
        <v>282</v>
      </c>
      <c r="B64" s="66">
        <v>84</v>
      </c>
      <c r="C64" s="66">
        <v>48</v>
      </c>
      <c r="D64" s="66">
        <v>891</v>
      </c>
      <c r="E64" s="43">
        <v>727</v>
      </c>
      <c r="F64" s="43">
        <v>20</v>
      </c>
    </row>
    <row r="65" spans="1:6" x14ac:dyDescent="0.2">
      <c r="A65" s="37" t="s">
        <v>283</v>
      </c>
      <c r="B65" s="66">
        <v>100</v>
      </c>
      <c r="C65" s="66">
        <v>105</v>
      </c>
      <c r="D65" s="66">
        <v>807</v>
      </c>
      <c r="E65" s="43">
        <v>775</v>
      </c>
      <c r="F65" s="43">
        <v>23</v>
      </c>
    </row>
    <row r="66" spans="1:6" x14ac:dyDescent="0.2">
      <c r="A66" s="37" t="s">
        <v>284</v>
      </c>
      <c r="B66" s="66">
        <v>83</v>
      </c>
      <c r="C66" s="66">
        <v>75</v>
      </c>
      <c r="D66" s="66">
        <v>935</v>
      </c>
      <c r="E66" s="43">
        <v>1043</v>
      </c>
      <c r="F66" s="43">
        <v>29</v>
      </c>
    </row>
    <row r="67" spans="1:6" x14ac:dyDescent="0.2">
      <c r="A67" s="37" t="s">
        <v>285</v>
      </c>
      <c r="B67" s="66">
        <v>104</v>
      </c>
      <c r="C67" s="66">
        <v>72</v>
      </c>
      <c r="D67" s="66">
        <v>1056</v>
      </c>
      <c r="E67" s="43">
        <v>887</v>
      </c>
      <c r="F67" s="43">
        <v>25</v>
      </c>
    </row>
    <row r="68" spans="1:6" x14ac:dyDescent="0.2">
      <c r="A68" s="37" t="s">
        <v>286</v>
      </c>
      <c r="B68" s="66">
        <v>96</v>
      </c>
      <c r="C68" s="66">
        <v>61</v>
      </c>
      <c r="D68" s="43" t="s">
        <v>370</v>
      </c>
      <c r="E68" s="43" t="s">
        <v>370</v>
      </c>
      <c r="F68" s="43" t="s">
        <v>373</v>
      </c>
    </row>
    <row r="69" spans="1:6" x14ac:dyDescent="0.2">
      <c r="A69" s="37" t="s">
        <v>299</v>
      </c>
      <c r="B69" s="38">
        <f>'Figur 1'!E39</f>
        <v>122</v>
      </c>
      <c r="C69" s="38">
        <f>'Figur 1'!L39</f>
        <v>92</v>
      </c>
      <c r="D69" s="43" t="s">
        <v>372</v>
      </c>
      <c r="E69" s="43" t="s">
        <v>371</v>
      </c>
      <c r="F69" s="43" t="s">
        <v>43</v>
      </c>
    </row>
    <row r="70" spans="1:6" x14ac:dyDescent="0.2">
      <c r="A70" s="37" t="s">
        <v>304</v>
      </c>
      <c r="B70" s="38">
        <f>'Figur 1'!E40</f>
        <v>84</v>
      </c>
      <c r="C70" s="38">
        <f>'Figur 1'!L40</f>
        <v>96</v>
      </c>
      <c r="D70" s="100" t="s">
        <v>307</v>
      </c>
      <c r="E70" s="102" t="s">
        <v>308</v>
      </c>
      <c r="F70" s="102" t="s">
        <v>309</v>
      </c>
    </row>
    <row r="71" spans="1:6" x14ac:dyDescent="0.2">
      <c r="A71" s="37" t="s">
        <v>327</v>
      </c>
      <c r="B71" s="38">
        <f>'Figur 1'!E41</f>
        <v>110</v>
      </c>
      <c r="C71" s="38">
        <f>'Figur 1'!L41</f>
        <v>89</v>
      </c>
      <c r="D71" s="100">
        <v>5274237</v>
      </c>
      <c r="E71" s="102">
        <v>5277916</v>
      </c>
      <c r="F71" s="104">
        <f t="shared" ref="F71:F76" si="0">E71-D71</f>
        <v>3679</v>
      </c>
    </row>
    <row r="72" spans="1:6" x14ac:dyDescent="0.2">
      <c r="A72" s="37" t="s">
        <v>329</v>
      </c>
      <c r="B72" s="38">
        <f>'Figur 1'!E42</f>
        <v>108</v>
      </c>
      <c r="C72" s="38">
        <f>'Figur 1'!L42</f>
        <v>92</v>
      </c>
      <c r="D72" s="100">
        <v>5277918</v>
      </c>
      <c r="E72" s="102">
        <v>5290392</v>
      </c>
      <c r="F72" s="104">
        <f t="shared" si="0"/>
        <v>12474</v>
      </c>
    </row>
    <row r="73" spans="1:6" x14ac:dyDescent="0.2">
      <c r="A73" s="37" t="s">
        <v>330</v>
      </c>
      <c r="B73" s="38">
        <f>'Figur 1'!E43</f>
        <v>122</v>
      </c>
      <c r="C73" s="38">
        <f>'Figur 1'!L43</f>
        <v>84</v>
      </c>
      <c r="D73" s="100">
        <v>5290394</v>
      </c>
      <c r="E73" s="102">
        <v>5288955</v>
      </c>
      <c r="F73" s="104">
        <f t="shared" si="0"/>
        <v>-1439</v>
      </c>
    </row>
    <row r="74" spans="1:6" x14ac:dyDescent="0.2">
      <c r="A74" s="37" t="s">
        <v>332</v>
      </c>
      <c r="B74" s="38">
        <f>'Figur 1'!E44</f>
        <v>95</v>
      </c>
      <c r="C74" s="38">
        <f>'Figur 1'!L44</f>
        <v>76</v>
      </c>
      <c r="D74" s="100">
        <v>5288958</v>
      </c>
      <c r="E74" s="102">
        <v>5299394</v>
      </c>
      <c r="F74" s="104">
        <f t="shared" si="0"/>
        <v>10436</v>
      </c>
    </row>
    <row r="75" spans="1:6" x14ac:dyDescent="0.2">
      <c r="A75" s="37" t="s">
        <v>335</v>
      </c>
      <c r="B75" s="38">
        <f>'Figur 1'!E45</f>
        <v>133</v>
      </c>
      <c r="C75" s="38">
        <f>'Figur 1'!L45</f>
        <v>113</v>
      </c>
      <c r="D75" s="100">
        <v>5299396</v>
      </c>
      <c r="E75" s="102">
        <v>5307154</v>
      </c>
      <c r="F75" s="104">
        <f t="shared" si="0"/>
        <v>7758</v>
      </c>
    </row>
    <row r="76" spans="1:6" x14ac:dyDescent="0.2">
      <c r="A76" s="37" t="s">
        <v>337</v>
      </c>
      <c r="B76" s="38">
        <f>'Figur 1'!E46</f>
        <v>97</v>
      </c>
      <c r="C76" s="38">
        <f>'Figur 1'!L46</f>
        <v>97</v>
      </c>
      <c r="D76" s="100">
        <v>5307155</v>
      </c>
      <c r="E76" s="102">
        <v>5314838</v>
      </c>
      <c r="F76" s="104">
        <f t="shared" si="0"/>
        <v>7683</v>
      </c>
    </row>
    <row r="77" spans="1:6" x14ac:dyDescent="0.2">
      <c r="A77" s="37" t="s">
        <v>338</v>
      </c>
      <c r="B77" s="38">
        <f>'Figur 1'!E47</f>
        <v>161</v>
      </c>
      <c r="C77" s="38">
        <f>'Figur 1'!L47</f>
        <v>132</v>
      </c>
      <c r="D77" s="100">
        <v>5314843</v>
      </c>
      <c r="E77" s="102">
        <v>5325223</v>
      </c>
      <c r="F77" s="104">
        <f t="shared" ref="F77:F82" si="1">E77-D77</f>
        <v>10380</v>
      </c>
    </row>
    <row r="78" spans="1:6" x14ac:dyDescent="0.2">
      <c r="A78" s="37" t="s">
        <v>339</v>
      </c>
      <c r="B78" s="38">
        <f>'Figur 1'!E48</f>
        <v>94</v>
      </c>
      <c r="C78" s="38">
        <f>'Figur 1'!L48</f>
        <v>87</v>
      </c>
      <c r="D78" s="100">
        <v>5325228</v>
      </c>
      <c r="E78" s="102">
        <v>5336418</v>
      </c>
      <c r="F78" s="104">
        <f t="shared" si="1"/>
        <v>11190</v>
      </c>
    </row>
    <row r="79" spans="1:6" x14ac:dyDescent="0.2">
      <c r="A79" s="37" t="s">
        <v>340</v>
      </c>
      <c r="B79" s="38">
        <f>'Figur 1'!E49</f>
        <v>113</v>
      </c>
      <c r="C79" s="38">
        <f>'Figur 1'!L49</f>
        <v>95</v>
      </c>
      <c r="D79" s="100">
        <v>5336431</v>
      </c>
      <c r="E79" s="102">
        <v>5339843</v>
      </c>
      <c r="F79" s="104">
        <f t="shared" si="1"/>
        <v>3412</v>
      </c>
    </row>
    <row r="80" spans="1:6" x14ac:dyDescent="0.2">
      <c r="A80" s="37" t="s">
        <v>342</v>
      </c>
      <c r="B80" s="38">
        <f>'Figur 1'!E50</f>
        <v>107</v>
      </c>
      <c r="C80" s="38">
        <f>'Figur 1'!L50</f>
        <v>94</v>
      </c>
      <c r="D80" s="100">
        <v>5339843</v>
      </c>
      <c r="E80" s="102">
        <v>5348206</v>
      </c>
      <c r="F80" s="104">
        <f t="shared" si="1"/>
        <v>8363</v>
      </c>
    </row>
    <row r="81" spans="1:6" x14ac:dyDescent="0.2">
      <c r="A81" s="37" t="s">
        <v>343</v>
      </c>
      <c r="B81" s="38">
        <f>'Figur 1'!E51</f>
        <v>142</v>
      </c>
      <c r="C81" s="38">
        <f>'Figur 1'!L51</f>
        <v>162</v>
      </c>
      <c r="D81" s="100">
        <v>5348206</v>
      </c>
      <c r="E81" s="102">
        <v>5357788</v>
      </c>
      <c r="F81" s="104">
        <f t="shared" si="1"/>
        <v>9582</v>
      </c>
    </row>
    <row r="82" spans="1:6" x14ac:dyDescent="0.2">
      <c r="A82" s="37" t="s">
        <v>344</v>
      </c>
      <c r="B82" s="38">
        <f>'Figur 1'!E52</f>
        <v>99</v>
      </c>
      <c r="C82" s="38">
        <f>'Figur 1'!L52</f>
        <v>113</v>
      </c>
      <c r="D82" s="100">
        <v>5357788</v>
      </c>
      <c r="E82" s="102">
        <v>5370264</v>
      </c>
      <c r="F82" s="104">
        <f t="shared" si="1"/>
        <v>12476</v>
      </c>
    </row>
    <row r="83" spans="1:6" x14ac:dyDescent="0.2">
      <c r="A83" s="37" t="s">
        <v>376</v>
      </c>
      <c r="B83" s="38">
        <f>'Figur 1'!E54</f>
        <v>134</v>
      </c>
      <c r="C83" s="38">
        <f>'Figur 1'!L54</f>
        <v>163</v>
      </c>
      <c r="D83" s="100">
        <v>5370264</v>
      </c>
      <c r="E83" s="102">
        <v>5379930</v>
      </c>
      <c r="F83" s="104">
        <f t="shared" ref="F83" si="2">E83-D83</f>
        <v>9666</v>
      </c>
    </row>
    <row r="84" spans="1:6" x14ac:dyDescent="0.2">
      <c r="A84" s="37" t="s">
        <v>369</v>
      </c>
      <c r="B84" s="38">
        <v>135</v>
      </c>
      <c r="C84" s="38">
        <v>163</v>
      </c>
      <c r="D84" s="100">
        <v>5381546</v>
      </c>
      <c r="E84" s="102">
        <v>5388074</v>
      </c>
      <c r="F84" s="104">
        <f t="shared" ref="F84" si="3">E84-D84</f>
        <v>6528</v>
      </c>
    </row>
    <row r="85" spans="1:6" x14ac:dyDescent="0.2">
      <c r="A85" s="37" t="s">
        <v>379</v>
      </c>
      <c r="B85" s="38">
        <v>135</v>
      </c>
      <c r="C85" s="38">
        <v>163</v>
      </c>
      <c r="D85" s="100">
        <v>5388074</v>
      </c>
      <c r="E85" s="102">
        <v>5396936</v>
      </c>
      <c r="F85" s="104">
        <f t="shared" ref="F85" si="4">E85-D85</f>
        <v>8862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68"/>
  <sheetViews>
    <sheetView zoomScale="106" zoomScaleNormal="106" workbookViewId="0">
      <pane ySplit="10" topLeftCell="A11" activePane="bottomLeft" state="frozen"/>
      <selection pane="bottomLeft" activeCell="D72" sqref="D72"/>
    </sheetView>
  </sheetViews>
  <sheetFormatPr baseColWidth="10" defaultRowHeight="12.75" x14ac:dyDescent="0.2"/>
  <cols>
    <col min="1" max="1" width="13.5703125" customWidth="1"/>
    <col min="2" max="2" width="11.140625" customWidth="1"/>
    <col min="3" max="3" width="10.28515625" customWidth="1"/>
    <col min="4" max="4" width="12.42578125" customWidth="1"/>
    <col min="5" max="5" width="9.140625" customWidth="1"/>
    <col min="6" max="6" width="4" customWidth="1"/>
    <col min="7" max="7" width="3.140625" customWidth="1"/>
    <col min="8" max="8" width="2.42578125" customWidth="1"/>
    <col min="9" max="9" width="9.7109375" customWidth="1"/>
    <col min="10" max="10" width="10.42578125" customWidth="1"/>
    <col min="11" max="11" width="10.85546875" customWidth="1"/>
    <col min="12" max="12" width="12.42578125" customWidth="1"/>
  </cols>
  <sheetData>
    <row r="1" spans="1:12" x14ac:dyDescent="0.2">
      <c r="A1" s="26" t="s">
        <v>92</v>
      </c>
    </row>
    <row r="2" spans="1:12" x14ac:dyDescent="0.2">
      <c r="A2" s="32"/>
      <c r="B2" s="13"/>
      <c r="C2" s="13"/>
      <c r="D2" s="13"/>
      <c r="E2" s="13"/>
      <c r="F2" s="13"/>
      <c r="G2" s="13"/>
      <c r="H2" s="13"/>
      <c r="J2" s="13"/>
      <c r="K2" s="13"/>
      <c r="L2" s="13"/>
    </row>
    <row r="3" spans="1:12" x14ac:dyDescent="0.2">
      <c r="A3" s="195"/>
      <c r="B3" s="192"/>
      <c r="C3" s="251" t="s">
        <v>169</v>
      </c>
      <c r="D3" s="252"/>
      <c r="E3" s="252"/>
      <c r="F3" s="252"/>
      <c r="G3" s="252"/>
      <c r="H3" s="252"/>
      <c r="I3" s="252"/>
      <c r="J3" s="193"/>
      <c r="K3" s="110"/>
      <c r="L3" s="17"/>
    </row>
    <row r="4" spans="1:12" x14ac:dyDescent="0.2">
      <c r="A4" s="184"/>
      <c r="B4" s="7"/>
      <c r="C4" s="188"/>
      <c r="D4" s="185"/>
      <c r="E4" s="185" t="s">
        <v>197</v>
      </c>
      <c r="F4" s="185" t="s">
        <v>198</v>
      </c>
      <c r="G4" s="185" t="s">
        <v>198</v>
      </c>
      <c r="H4" s="185" t="s">
        <v>198</v>
      </c>
      <c r="I4" s="185"/>
      <c r="J4" s="246" t="s">
        <v>288</v>
      </c>
      <c r="K4" s="247"/>
      <c r="L4" s="248"/>
    </row>
    <row r="5" spans="1:12" x14ac:dyDescent="0.2">
      <c r="A5" s="95"/>
      <c r="B5" s="9" t="s">
        <v>159</v>
      </c>
      <c r="C5" s="189"/>
      <c r="D5" s="12"/>
      <c r="E5" s="12" t="s">
        <v>168</v>
      </c>
      <c r="F5" s="12" t="s">
        <v>194</v>
      </c>
      <c r="G5" s="12" t="s">
        <v>199</v>
      </c>
      <c r="H5" s="12" t="s">
        <v>199</v>
      </c>
      <c r="I5" s="12"/>
      <c r="J5" s="249" t="s">
        <v>298</v>
      </c>
      <c r="K5" s="245"/>
      <c r="L5" s="250"/>
    </row>
    <row r="6" spans="1:12" x14ac:dyDescent="0.2">
      <c r="A6" s="200" t="s">
        <v>295</v>
      </c>
      <c r="B6" s="201"/>
      <c r="C6" s="202"/>
      <c r="D6" s="203" t="s">
        <v>291</v>
      </c>
      <c r="E6" s="203" t="s">
        <v>292</v>
      </c>
      <c r="F6" s="203"/>
      <c r="G6" s="203"/>
      <c r="H6" s="203"/>
      <c r="I6" s="203" t="s">
        <v>292</v>
      </c>
      <c r="J6" s="202"/>
      <c r="K6" s="203" t="s">
        <v>287</v>
      </c>
      <c r="L6" s="204" t="s">
        <v>289</v>
      </c>
    </row>
    <row r="7" spans="1:12" x14ac:dyDescent="0.2">
      <c r="A7" s="200"/>
      <c r="B7" s="201"/>
      <c r="C7" s="205" t="s">
        <v>141</v>
      </c>
      <c r="D7" s="203" t="s">
        <v>290</v>
      </c>
      <c r="E7" s="203" t="s">
        <v>293</v>
      </c>
      <c r="F7" s="203"/>
      <c r="G7" s="203"/>
      <c r="H7" s="203"/>
      <c r="I7" s="203" t="s">
        <v>293</v>
      </c>
      <c r="J7" s="202" t="s">
        <v>141</v>
      </c>
      <c r="K7" s="203" t="s">
        <v>120</v>
      </c>
      <c r="L7" s="204" t="s">
        <v>294</v>
      </c>
    </row>
    <row r="8" spans="1:12" x14ac:dyDescent="0.2">
      <c r="A8" s="206"/>
      <c r="B8" s="207"/>
      <c r="C8" s="208"/>
      <c r="D8" s="209"/>
      <c r="E8" s="209"/>
      <c r="F8" s="209"/>
      <c r="G8" s="209"/>
      <c r="H8" s="209"/>
      <c r="I8" s="209"/>
      <c r="J8" s="208"/>
      <c r="K8" s="209" t="s">
        <v>119</v>
      </c>
      <c r="L8" s="210"/>
    </row>
    <row r="9" spans="1:12" x14ac:dyDescent="0.2">
      <c r="A9" s="186" t="s">
        <v>296</v>
      </c>
      <c r="B9" s="79" t="s">
        <v>166</v>
      </c>
      <c r="C9" s="156"/>
      <c r="D9" s="111" t="s">
        <v>30</v>
      </c>
      <c r="E9" s="111" t="s">
        <v>192</v>
      </c>
      <c r="F9" s="111" t="s">
        <v>213</v>
      </c>
      <c r="G9" s="111" t="s">
        <v>200</v>
      </c>
      <c r="H9" s="111" t="s">
        <v>201</v>
      </c>
      <c r="I9" s="111" t="s">
        <v>222</v>
      </c>
      <c r="J9" s="156"/>
      <c r="K9" s="111" t="s">
        <v>139</v>
      </c>
      <c r="L9" s="80" t="s">
        <v>138</v>
      </c>
    </row>
    <row r="10" spans="1:12" x14ac:dyDescent="0.2">
      <c r="A10" s="187" t="s">
        <v>297</v>
      </c>
      <c r="B10" s="81" t="s">
        <v>167</v>
      </c>
      <c r="C10" s="190" t="s">
        <v>141</v>
      </c>
      <c r="D10" s="98" t="s">
        <v>20</v>
      </c>
      <c r="E10" s="76" t="s">
        <v>193</v>
      </c>
      <c r="F10" s="76" t="s">
        <v>195</v>
      </c>
      <c r="G10" s="76" t="s">
        <v>119</v>
      </c>
      <c r="H10" s="76" t="s">
        <v>119</v>
      </c>
      <c r="I10" s="98" t="s">
        <v>25</v>
      </c>
      <c r="J10" s="194" t="s">
        <v>141</v>
      </c>
      <c r="K10" s="98" t="s">
        <v>119</v>
      </c>
      <c r="L10" s="191" t="s">
        <v>119</v>
      </c>
    </row>
    <row r="11" spans="1:12" ht="12.75" hidden="1" customHeight="1" x14ac:dyDescent="0.2">
      <c r="A11" s="37" t="s">
        <v>225</v>
      </c>
      <c r="B11" s="104">
        <f t="shared" ref="B11:B42" si="0">C11+J11</f>
        <v>96809</v>
      </c>
      <c r="C11" s="104">
        <f t="shared" ref="C11:C42" si="1">D11+E11+F11+G11+H11+I11</f>
        <v>68421</v>
      </c>
      <c r="D11" s="100">
        <v>48878</v>
      </c>
      <c r="E11" s="100">
        <v>15395</v>
      </c>
      <c r="F11" s="100">
        <v>4</v>
      </c>
      <c r="G11" s="100">
        <v>3150</v>
      </c>
      <c r="H11" s="100">
        <v>422</v>
      </c>
      <c r="I11" s="102">
        <v>572</v>
      </c>
      <c r="J11" s="92">
        <f>K11+L11</f>
        <v>28388</v>
      </c>
      <c r="K11" s="103">
        <v>26138</v>
      </c>
      <c r="L11" s="103">
        <v>2250</v>
      </c>
    </row>
    <row r="12" spans="1:12" ht="12.75" hidden="1" customHeight="1" x14ac:dyDescent="0.2">
      <c r="A12" s="37" t="s">
        <v>226</v>
      </c>
      <c r="B12" s="104">
        <f t="shared" si="0"/>
        <v>169261</v>
      </c>
      <c r="C12" s="104">
        <f t="shared" si="1"/>
        <v>85901</v>
      </c>
      <c r="D12" s="100">
        <v>55333</v>
      </c>
      <c r="E12" s="100">
        <v>24693</v>
      </c>
      <c r="F12" s="100">
        <v>2</v>
      </c>
      <c r="G12" s="100">
        <v>4449</v>
      </c>
      <c r="H12" s="100">
        <v>464</v>
      </c>
      <c r="I12" s="102">
        <v>960</v>
      </c>
      <c r="J12" s="92">
        <f>K12+L12</f>
        <v>83360</v>
      </c>
      <c r="K12" s="103">
        <v>76994</v>
      </c>
      <c r="L12" s="103">
        <v>6366</v>
      </c>
    </row>
    <row r="13" spans="1:12" ht="12.75" hidden="1" customHeight="1" x14ac:dyDescent="0.2">
      <c r="A13" s="37" t="s">
        <v>227</v>
      </c>
      <c r="B13" s="104">
        <f t="shared" si="0"/>
        <v>149629</v>
      </c>
      <c r="C13" s="104">
        <f t="shared" si="1"/>
        <v>80858</v>
      </c>
      <c r="D13" s="100">
        <v>54148</v>
      </c>
      <c r="E13" s="100">
        <v>20502</v>
      </c>
      <c r="F13" s="100">
        <v>0</v>
      </c>
      <c r="G13" s="100">
        <v>4485</v>
      </c>
      <c r="H13" s="100">
        <v>784</v>
      </c>
      <c r="I13" s="102">
        <v>939</v>
      </c>
      <c r="J13" s="92">
        <f>K13+L13</f>
        <v>68771</v>
      </c>
      <c r="K13" s="103">
        <v>61379</v>
      </c>
      <c r="L13" s="103">
        <v>7392</v>
      </c>
    </row>
    <row r="14" spans="1:12" ht="12.75" hidden="1" customHeight="1" x14ac:dyDescent="0.2">
      <c r="A14" s="37" t="s">
        <v>247</v>
      </c>
      <c r="B14" s="104">
        <f t="shared" si="0"/>
        <v>151459</v>
      </c>
      <c r="C14" s="104">
        <f t="shared" si="1"/>
        <v>90723</v>
      </c>
      <c r="D14" s="100">
        <v>64330</v>
      </c>
      <c r="E14" s="100">
        <v>19034</v>
      </c>
      <c r="F14" s="100">
        <v>1</v>
      </c>
      <c r="G14" s="100">
        <v>4818</v>
      </c>
      <c r="H14" s="100">
        <v>1627</v>
      </c>
      <c r="I14" s="102">
        <v>913</v>
      </c>
      <c r="J14" s="92">
        <f t="shared" ref="J14:J19" si="2">K14+L14</f>
        <v>60736</v>
      </c>
      <c r="K14" s="103">
        <v>54764</v>
      </c>
      <c r="L14" s="103">
        <v>5972</v>
      </c>
    </row>
    <row r="15" spans="1:12" ht="12.75" hidden="1" customHeight="1" x14ac:dyDescent="0.2">
      <c r="A15" s="37" t="s">
        <v>248</v>
      </c>
      <c r="B15" s="104">
        <f t="shared" si="0"/>
        <v>119977</v>
      </c>
      <c r="C15" s="25">
        <f t="shared" si="1"/>
        <v>73557</v>
      </c>
      <c r="D15" s="39">
        <v>54321</v>
      </c>
      <c r="E15" s="39">
        <v>14737</v>
      </c>
      <c r="F15" s="39">
        <v>0</v>
      </c>
      <c r="G15" s="39">
        <v>3185</v>
      </c>
      <c r="H15" s="39">
        <v>487</v>
      </c>
      <c r="I15" s="39">
        <v>827</v>
      </c>
      <c r="J15" s="126">
        <f t="shared" si="2"/>
        <v>46420</v>
      </c>
      <c r="K15" s="39">
        <v>41090</v>
      </c>
      <c r="L15" s="39">
        <v>5330</v>
      </c>
    </row>
    <row r="16" spans="1:12" ht="12.75" hidden="1" customHeight="1" x14ac:dyDescent="0.2">
      <c r="A16" s="37" t="s">
        <v>249</v>
      </c>
      <c r="B16" s="104">
        <f t="shared" si="0"/>
        <v>160321</v>
      </c>
      <c r="C16" s="25">
        <f t="shared" si="1"/>
        <v>87435</v>
      </c>
      <c r="D16" s="39">
        <v>60850</v>
      </c>
      <c r="E16" s="100">
        <v>21479</v>
      </c>
      <c r="F16" s="100">
        <v>2</v>
      </c>
      <c r="G16" s="100">
        <v>3361</v>
      </c>
      <c r="H16" s="100">
        <v>593</v>
      </c>
      <c r="I16" s="102">
        <v>1150</v>
      </c>
      <c r="J16" s="92">
        <f t="shared" si="2"/>
        <v>72886</v>
      </c>
      <c r="K16" s="103">
        <v>63490</v>
      </c>
      <c r="L16" s="103">
        <v>9396</v>
      </c>
    </row>
    <row r="17" spans="1:12" ht="12.75" hidden="1" customHeight="1" x14ac:dyDescent="0.2">
      <c r="A17" s="37" t="s">
        <v>250</v>
      </c>
      <c r="B17" s="104">
        <f t="shared" si="0"/>
        <v>133398</v>
      </c>
      <c r="C17" s="25">
        <f t="shared" si="1"/>
        <v>84484</v>
      </c>
      <c r="D17" s="100">
        <v>60469</v>
      </c>
      <c r="E17" s="100">
        <v>18773</v>
      </c>
      <c r="F17" s="100">
        <v>0</v>
      </c>
      <c r="G17" s="100">
        <v>3372</v>
      </c>
      <c r="H17" s="100">
        <v>737</v>
      </c>
      <c r="I17" s="102">
        <v>1133</v>
      </c>
      <c r="J17" s="92">
        <f t="shared" si="2"/>
        <v>48914</v>
      </c>
      <c r="K17" s="103">
        <v>43707</v>
      </c>
      <c r="L17" s="103">
        <v>5207</v>
      </c>
    </row>
    <row r="18" spans="1:12" ht="12.75" hidden="1" customHeight="1" x14ac:dyDescent="0.2">
      <c r="A18" s="37" t="s">
        <v>251</v>
      </c>
      <c r="B18" s="104">
        <f t="shared" si="0"/>
        <v>151873</v>
      </c>
      <c r="C18" s="25">
        <f t="shared" si="1"/>
        <v>94947</v>
      </c>
      <c r="D18" s="100">
        <v>71520</v>
      </c>
      <c r="E18" s="100">
        <v>18013</v>
      </c>
      <c r="F18" s="100">
        <v>2</v>
      </c>
      <c r="G18" s="100">
        <v>3859</v>
      </c>
      <c r="H18" s="100">
        <v>438</v>
      </c>
      <c r="I18" s="102">
        <v>1115</v>
      </c>
      <c r="J18" s="92">
        <f t="shared" si="2"/>
        <v>56926</v>
      </c>
      <c r="K18" s="103">
        <v>54753</v>
      </c>
      <c r="L18" s="103">
        <v>2173</v>
      </c>
    </row>
    <row r="19" spans="1:12" ht="12.75" hidden="1" customHeight="1" x14ac:dyDescent="0.2">
      <c r="A19" s="37" t="s">
        <v>252</v>
      </c>
      <c r="B19" s="104">
        <f t="shared" si="0"/>
        <v>105368</v>
      </c>
      <c r="C19" s="25">
        <f t="shared" si="1"/>
        <v>69763</v>
      </c>
      <c r="D19" s="100">
        <v>53101</v>
      </c>
      <c r="E19" s="100">
        <v>12910</v>
      </c>
      <c r="F19" s="100">
        <v>159</v>
      </c>
      <c r="G19" s="100">
        <v>2372</v>
      </c>
      <c r="H19" s="100">
        <v>329</v>
      </c>
      <c r="I19" s="102">
        <v>892</v>
      </c>
      <c r="J19" s="92">
        <f t="shared" si="2"/>
        <v>35605</v>
      </c>
      <c r="K19" s="103">
        <v>31830</v>
      </c>
      <c r="L19" s="103">
        <v>3775</v>
      </c>
    </row>
    <row r="20" spans="1:12" ht="12.75" hidden="1" customHeight="1" x14ac:dyDescent="0.2">
      <c r="A20" s="37" t="s">
        <v>253</v>
      </c>
      <c r="B20" s="104">
        <f t="shared" si="0"/>
        <v>146278</v>
      </c>
      <c r="C20" s="25">
        <f t="shared" si="1"/>
        <v>81935</v>
      </c>
      <c r="D20" s="100">
        <v>55580</v>
      </c>
      <c r="E20" s="100">
        <v>20874</v>
      </c>
      <c r="F20" s="100">
        <v>1</v>
      </c>
      <c r="G20" s="100">
        <v>4169</v>
      </c>
      <c r="H20" s="100">
        <v>384</v>
      </c>
      <c r="I20" s="102">
        <v>927</v>
      </c>
      <c r="J20" s="92">
        <f t="shared" ref="J20:J25" si="3">K20+L20</f>
        <v>64343</v>
      </c>
      <c r="K20" s="103">
        <v>53947</v>
      </c>
      <c r="L20" s="103">
        <v>10396</v>
      </c>
    </row>
    <row r="21" spans="1:12" ht="12.75" hidden="1" customHeight="1" x14ac:dyDescent="0.2">
      <c r="A21" s="37" t="s">
        <v>256</v>
      </c>
      <c r="B21" s="104">
        <f t="shared" si="0"/>
        <v>116482</v>
      </c>
      <c r="C21" s="25">
        <f t="shared" si="1"/>
        <v>64370</v>
      </c>
      <c r="D21" s="100">
        <v>43906</v>
      </c>
      <c r="E21" s="100">
        <v>16883</v>
      </c>
      <c r="F21" s="100">
        <v>1</v>
      </c>
      <c r="G21" s="100">
        <v>2469</v>
      </c>
      <c r="H21" s="100">
        <v>560</v>
      </c>
      <c r="I21" s="102">
        <v>551</v>
      </c>
      <c r="J21" s="92">
        <f t="shared" si="3"/>
        <v>52112</v>
      </c>
      <c r="K21" s="103">
        <v>48246</v>
      </c>
      <c r="L21" s="103">
        <v>3866</v>
      </c>
    </row>
    <row r="22" spans="1:12" ht="12.75" hidden="1" customHeight="1" x14ac:dyDescent="0.2">
      <c r="A22" s="37" t="s">
        <v>257</v>
      </c>
      <c r="B22" s="104">
        <f t="shared" si="0"/>
        <v>140991</v>
      </c>
      <c r="C22" s="25">
        <f t="shared" si="1"/>
        <v>70932</v>
      </c>
      <c r="D22" s="100">
        <v>50881</v>
      </c>
      <c r="E22" s="100">
        <v>16041</v>
      </c>
      <c r="F22" s="100">
        <v>1</v>
      </c>
      <c r="G22" s="100">
        <v>2854</v>
      </c>
      <c r="H22" s="100">
        <v>401</v>
      </c>
      <c r="I22" s="102">
        <v>754</v>
      </c>
      <c r="J22" s="92">
        <f t="shared" si="3"/>
        <v>70059</v>
      </c>
      <c r="K22" s="103">
        <v>65435</v>
      </c>
      <c r="L22" s="103">
        <v>4624</v>
      </c>
    </row>
    <row r="23" spans="1:12" ht="12.75" hidden="1" customHeight="1" x14ac:dyDescent="0.2">
      <c r="A23" s="37" t="s">
        <v>260</v>
      </c>
      <c r="B23" s="104">
        <f t="shared" si="0"/>
        <v>110697</v>
      </c>
      <c r="C23" s="25">
        <f t="shared" si="1"/>
        <v>61617</v>
      </c>
      <c r="D23" s="100">
        <v>45123</v>
      </c>
      <c r="E23" s="100">
        <v>12914</v>
      </c>
      <c r="F23" s="100">
        <v>0</v>
      </c>
      <c r="G23" s="100">
        <v>2797</v>
      </c>
      <c r="H23" s="100">
        <v>253</v>
      </c>
      <c r="I23" s="102">
        <v>530</v>
      </c>
      <c r="J23" s="92">
        <f t="shared" si="3"/>
        <v>49080</v>
      </c>
      <c r="K23" s="103">
        <v>45384</v>
      </c>
      <c r="L23" s="103">
        <v>3696</v>
      </c>
    </row>
    <row r="24" spans="1:12" ht="12.75" hidden="1" customHeight="1" x14ac:dyDescent="0.2">
      <c r="A24" s="37" t="s">
        <v>262</v>
      </c>
      <c r="B24" s="104">
        <f t="shared" si="0"/>
        <v>170109</v>
      </c>
      <c r="C24" s="25">
        <f t="shared" si="1"/>
        <v>81430</v>
      </c>
      <c r="D24" s="100">
        <v>53859</v>
      </c>
      <c r="E24" s="100">
        <v>22811</v>
      </c>
      <c r="F24" s="100">
        <v>1</v>
      </c>
      <c r="G24" s="100">
        <v>3447</v>
      </c>
      <c r="H24" s="100">
        <v>611</v>
      </c>
      <c r="I24" s="102">
        <v>701</v>
      </c>
      <c r="J24" s="92">
        <f t="shared" si="3"/>
        <v>88679</v>
      </c>
      <c r="K24" s="103">
        <v>82227</v>
      </c>
      <c r="L24" s="103">
        <v>6452</v>
      </c>
    </row>
    <row r="25" spans="1:12" ht="12.75" hidden="1" customHeight="1" x14ac:dyDescent="0.2">
      <c r="A25" s="37" t="s">
        <v>263</v>
      </c>
      <c r="B25" s="104">
        <f t="shared" si="0"/>
        <v>134717</v>
      </c>
      <c r="C25" s="25">
        <f t="shared" si="1"/>
        <v>72712</v>
      </c>
      <c r="D25" s="100">
        <v>49611</v>
      </c>
      <c r="E25" s="100">
        <v>18656</v>
      </c>
      <c r="F25" s="100">
        <v>1</v>
      </c>
      <c r="G25" s="100">
        <v>3406</v>
      </c>
      <c r="H25" s="100">
        <v>401</v>
      </c>
      <c r="I25" s="102">
        <v>637</v>
      </c>
      <c r="J25" s="92">
        <f t="shared" si="3"/>
        <v>62005</v>
      </c>
      <c r="K25" s="103">
        <v>56167</v>
      </c>
      <c r="L25" s="103">
        <v>5838</v>
      </c>
    </row>
    <row r="26" spans="1:12" hidden="1" x14ac:dyDescent="0.2">
      <c r="A26" s="217" t="s">
        <v>264</v>
      </c>
      <c r="B26" s="218">
        <f t="shared" si="0"/>
        <v>178827</v>
      </c>
      <c r="C26" s="219">
        <f t="shared" si="1"/>
        <v>92193</v>
      </c>
      <c r="D26" s="220">
        <v>66108</v>
      </c>
      <c r="E26" s="220">
        <v>19579</v>
      </c>
      <c r="F26" s="220">
        <v>4</v>
      </c>
      <c r="G26" s="220">
        <v>5214</v>
      </c>
      <c r="H26" s="220">
        <v>488</v>
      </c>
      <c r="I26" s="218">
        <v>800</v>
      </c>
      <c r="J26" s="220">
        <f t="shared" ref="J26:J31" si="4">K26+L26</f>
        <v>86634</v>
      </c>
      <c r="K26" s="221">
        <v>82173</v>
      </c>
      <c r="L26" s="221">
        <v>4461</v>
      </c>
    </row>
    <row r="27" spans="1:12" hidden="1" x14ac:dyDescent="0.2">
      <c r="A27" s="217" t="s">
        <v>265</v>
      </c>
      <c r="B27" s="218">
        <f t="shared" si="0"/>
        <v>136254</v>
      </c>
      <c r="C27" s="219">
        <f t="shared" si="1"/>
        <v>69866</v>
      </c>
      <c r="D27" s="220">
        <v>51195</v>
      </c>
      <c r="E27" s="220">
        <v>13522</v>
      </c>
      <c r="F27" s="220">
        <v>0</v>
      </c>
      <c r="G27" s="220">
        <v>4000</v>
      </c>
      <c r="H27" s="220">
        <v>496</v>
      </c>
      <c r="I27" s="218">
        <v>653</v>
      </c>
      <c r="J27" s="220">
        <f t="shared" si="4"/>
        <v>66388</v>
      </c>
      <c r="K27" s="221">
        <v>60712</v>
      </c>
      <c r="L27" s="221">
        <v>5676</v>
      </c>
    </row>
    <row r="28" spans="1:12" hidden="1" x14ac:dyDescent="0.2">
      <c r="A28" s="217" t="s">
        <v>266</v>
      </c>
      <c r="B28" s="218">
        <f t="shared" si="0"/>
        <v>160917</v>
      </c>
      <c r="C28" s="219">
        <f t="shared" si="1"/>
        <v>84813</v>
      </c>
      <c r="D28" s="220">
        <v>54900</v>
      </c>
      <c r="E28" s="220">
        <v>23985</v>
      </c>
      <c r="F28" s="220">
        <v>1</v>
      </c>
      <c r="G28" s="220">
        <v>4260</v>
      </c>
      <c r="H28" s="220">
        <v>856</v>
      </c>
      <c r="I28" s="218">
        <v>811</v>
      </c>
      <c r="J28" s="220">
        <f t="shared" si="4"/>
        <v>76104</v>
      </c>
      <c r="K28" s="221">
        <v>70038</v>
      </c>
      <c r="L28" s="221">
        <v>6066</v>
      </c>
    </row>
    <row r="29" spans="1:12" hidden="1" x14ac:dyDescent="0.2">
      <c r="A29" s="217" t="s">
        <v>267</v>
      </c>
      <c r="B29" s="218">
        <f t="shared" si="0"/>
        <v>126181</v>
      </c>
      <c r="C29" s="219">
        <f t="shared" si="1"/>
        <v>79846</v>
      </c>
      <c r="D29" s="220">
        <v>54725</v>
      </c>
      <c r="E29" s="220">
        <v>20050</v>
      </c>
      <c r="F29" s="220">
        <v>12</v>
      </c>
      <c r="G29" s="220">
        <v>3737</v>
      </c>
      <c r="H29" s="220">
        <v>545</v>
      </c>
      <c r="I29" s="218">
        <v>777</v>
      </c>
      <c r="J29" s="220">
        <f t="shared" si="4"/>
        <v>46335</v>
      </c>
      <c r="K29" s="221">
        <v>42936</v>
      </c>
      <c r="L29" s="221">
        <v>3399</v>
      </c>
    </row>
    <row r="30" spans="1:12" hidden="1" x14ac:dyDescent="0.2">
      <c r="A30" s="217" t="s">
        <v>268</v>
      </c>
      <c r="B30" s="218">
        <f t="shared" si="0"/>
        <v>170464</v>
      </c>
      <c r="C30" s="219">
        <f t="shared" si="1"/>
        <v>92415</v>
      </c>
      <c r="D30" s="220">
        <v>66523</v>
      </c>
      <c r="E30" s="220">
        <v>19520</v>
      </c>
      <c r="F30" s="220">
        <v>562</v>
      </c>
      <c r="G30" s="220">
        <v>4231</v>
      </c>
      <c r="H30" s="220">
        <v>618</v>
      </c>
      <c r="I30" s="218">
        <v>961</v>
      </c>
      <c r="J30" s="220">
        <f t="shared" si="4"/>
        <v>78049</v>
      </c>
      <c r="K30" s="221">
        <v>70225</v>
      </c>
      <c r="L30" s="221">
        <v>7824</v>
      </c>
    </row>
    <row r="31" spans="1:12" hidden="1" x14ac:dyDescent="0.2">
      <c r="A31" s="217" t="s">
        <v>269</v>
      </c>
      <c r="B31" s="218">
        <f t="shared" si="0"/>
        <v>121548</v>
      </c>
      <c r="C31" s="219">
        <f t="shared" si="1"/>
        <v>67606</v>
      </c>
      <c r="D31" s="220">
        <v>48872</v>
      </c>
      <c r="E31" s="220">
        <v>13910</v>
      </c>
      <c r="F31" s="220">
        <v>0</v>
      </c>
      <c r="G31" s="220">
        <v>3687</v>
      </c>
      <c r="H31" s="220">
        <v>480</v>
      </c>
      <c r="I31" s="218">
        <v>657</v>
      </c>
      <c r="J31" s="220">
        <f t="shared" si="4"/>
        <v>53942</v>
      </c>
      <c r="K31" s="221">
        <v>50775</v>
      </c>
      <c r="L31" s="221">
        <v>3167</v>
      </c>
    </row>
    <row r="32" spans="1:12" hidden="1" x14ac:dyDescent="0.2">
      <c r="A32" s="217" t="s">
        <v>270</v>
      </c>
      <c r="B32" s="218">
        <f t="shared" si="0"/>
        <v>167677</v>
      </c>
      <c r="C32" s="219">
        <f t="shared" si="1"/>
        <v>88275</v>
      </c>
      <c r="D32" s="220">
        <v>58425</v>
      </c>
      <c r="E32" s="220">
        <v>24449</v>
      </c>
      <c r="F32" s="220">
        <v>0</v>
      </c>
      <c r="G32" s="220">
        <v>3929</v>
      </c>
      <c r="H32" s="220">
        <v>514</v>
      </c>
      <c r="I32" s="218">
        <v>958</v>
      </c>
      <c r="J32" s="220">
        <f t="shared" ref="J32:J37" si="5">K32+L32</f>
        <v>79402</v>
      </c>
      <c r="K32" s="221">
        <v>71660</v>
      </c>
      <c r="L32" s="221">
        <v>7742</v>
      </c>
    </row>
    <row r="33" spans="1:12" hidden="1" x14ac:dyDescent="0.2">
      <c r="A33" s="217" t="s">
        <v>271</v>
      </c>
      <c r="B33" s="218">
        <f t="shared" si="0"/>
        <v>158796</v>
      </c>
      <c r="C33" s="219">
        <f t="shared" si="1"/>
        <v>79567</v>
      </c>
      <c r="D33" s="220">
        <v>53885</v>
      </c>
      <c r="E33" s="220">
        <v>20206</v>
      </c>
      <c r="F33" s="220">
        <v>0</v>
      </c>
      <c r="G33" s="220">
        <v>4233</v>
      </c>
      <c r="H33" s="220">
        <v>424</v>
      </c>
      <c r="I33" s="218">
        <v>819</v>
      </c>
      <c r="J33" s="220">
        <f t="shared" si="5"/>
        <v>79229</v>
      </c>
      <c r="K33" s="221">
        <v>74115</v>
      </c>
      <c r="L33" s="221">
        <v>5114</v>
      </c>
    </row>
    <row r="34" spans="1:12" hidden="1" x14ac:dyDescent="0.2">
      <c r="A34" s="217" t="s">
        <v>272</v>
      </c>
      <c r="B34" s="218">
        <f t="shared" si="0"/>
        <v>154165</v>
      </c>
      <c r="C34" s="219">
        <f t="shared" si="1"/>
        <v>89991</v>
      </c>
      <c r="D34" s="220">
        <v>63558</v>
      </c>
      <c r="E34" s="220">
        <v>19119</v>
      </c>
      <c r="F34" s="220">
        <v>0</v>
      </c>
      <c r="G34" s="220">
        <v>5186</v>
      </c>
      <c r="H34" s="220">
        <v>634</v>
      </c>
      <c r="I34" s="218">
        <v>1494</v>
      </c>
      <c r="J34" s="220">
        <f t="shared" si="5"/>
        <v>64174</v>
      </c>
      <c r="K34" s="221">
        <v>58304</v>
      </c>
      <c r="L34" s="221">
        <v>5870</v>
      </c>
    </row>
    <row r="35" spans="1:12" hidden="1" x14ac:dyDescent="0.2">
      <c r="A35" s="217" t="s">
        <v>273</v>
      </c>
      <c r="B35" s="218">
        <f t="shared" si="0"/>
        <v>47892</v>
      </c>
      <c r="C35" s="219">
        <f t="shared" si="1"/>
        <v>24352</v>
      </c>
      <c r="D35" s="220">
        <v>17387</v>
      </c>
      <c r="E35" s="220">
        <v>4995</v>
      </c>
      <c r="F35" s="220">
        <v>4</v>
      </c>
      <c r="G35" s="220">
        <v>1556</v>
      </c>
      <c r="H35" s="220">
        <v>153</v>
      </c>
      <c r="I35" s="218">
        <v>257</v>
      </c>
      <c r="J35" s="220">
        <f t="shared" si="5"/>
        <v>23540</v>
      </c>
      <c r="K35" s="221">
        <v>20720</v>
      </c>
      <c r="L35" s="221">
        <v>2820</v>
      </c>
    </row>
    <row r="36" spans="1:12" hidden="1" x14ac:dyDescent="0.2">
      <c r="A36" s="217" t="s">
        <v>274</v>
      </c>
      <c r="B36" s="218">
        <f t="shared" si="0"/>
        <v>261371</v>
      </c>
      <c r="C36" s="219">
        <f t="shared" si="1"/>
        <v>122154</v>
      </c>
      <c r="D36" s="220">
        <v>82234</v>
      </c>
      <c r="E36" s="220">
        <v>30083</v>
      </c>
      <c r="F36" s="220">
        <v>11</v>
      </c>
      <c r="G36" s="220">
        <v>7392</v>
      </c>
      <c r="H36" s="220">
        <v>1038</v>
      </c>
      <c r="I36" s="218">
        <v>1396</v>
      </c>
      <c r="J36" s="220">
        <f t="shared" si="5"/>
        <v>139217</v>
      </c>
      <c r="K36" s="221">
        <v>121167</v>
      </c>
      <c r="L36" s="221">
        <v>18050</v>
      </c>
    </row>
    <row r="37" spans="1:12" hidden="1" x14ac:dyDescent="0.2">
      <c r="A37" s="217" t="s">
        <v>275</v>
      </c>
      <c r="B37" s="218">
        <f t="shared" si="0"/>
        <v>170043</v>
      </c>
      <c r="C37" s="219">
        <f t="shared" si="1"/>
        <v>88153</v>
      </c>
      <c r="D37" s="220">
        <v>60112</v>
      </c>
      <c r="E37" s="220">
        <v>20785</v>
      </c>
      <c r="F37" s="220">
        <v>0</v>
      </c>
      <c r="G37" s="220">
        <v>5158</v>
      </c>
      <c r="H37" s="220">
        <v>1120</v>
      </c>
      <c r="I37" s="218">
        <v>978</v>
      </c>
      <c r="J37" s="220">
        <f t="shared" si="5"/>
        <v>81890</v>
      </c>
      <c r="K37" s="221">
        <v>74379</v>
      </c>
      <c r="L37" s="221">
        <v>7511</v>
      </c>
    </row>
    <row r="38" spans="1:12" hidden="1" x14ac:dyDescent="0.2">
      <c r="A38" s="217" t="s">
        <v>276</v>
      </c>
      <c r="B38" s="218">
        <f t="shared" si="0"/>
        <v>182553</v>
      </c>
      <c r="C38" s="219">
        <f t="shared" si="1"/>
        <v>104791</v>
      </c>
      <c r="D38" s="220">
        <v>76925</v>
      </c>
      <c r="E38" s="220">
        <v>20102</v>
      </c>
      <c r="F38" s="220">
        <v>1</v>
      </c>
      <c r="G38" s="220">
        <v>5651</v>
      </c>
      <c r="H38" s="220">
        <v>1025</v>
      </c>
      <c r="I38" s="218">
        <v>1087</v>
      </c>
      <c r="J38" s="220">
        <f t="shared" ref="J38:J43" si="6">K38+L38</f>
        <v>77762</v>
      </c>
      <c r="K38" s="221">
        <v>70433</v>
      </c>
      <c r="L38" s="221">
        <v>7329</v>
      </c>
    </row>
    <row r="39" spans="1:12" hidden="1" x14ac:dyDescent="0.2">
      <c r="A39" s="217" t="s">
        <v>278</v>
      </c>
      <c r="B39" s="218">
        <f t="shared" si="0"/>
        <v>132056</v>
      </c>
      <c r="C39" s="219">
        <f t="shared" si="1"/>
        <v>77614</v>
      </c>
      <c r="D39" s="220">
        <v>57688</v>
      </c>
      <c r="E39" s="220">
        <v>14634</v>
      </c>
      <c r="F39" s="220">
        <v>3</v>
      </c>
      <c r="G39" s="220">
        <v>3746</v>
      </c>
      <c r="H39" s="220">
        <v>671</v>
      </c>
      <c r="I39" s="218">
        <v>872</v>
      </c>
      <c r="J39" s="220">
        <f t="shared" si="6"/>
        <v>54442</v>
      </c>
      <c r="K39" s="221">
        <v>46426</v>
      </c>
      <c r="L39" s="221">
        <v>8016</v>
      </c>
    </row>
    <row r="40" spans="1:12" hidden="1" x14ac:dyDescent="0.2">
      <c r="A40" s="217" t="s">
        <v>279</v>
      </c>
      <c r="B40" s="218">
        <f t="shared" si="0"/>
        <v>195741</v>
      </c>
      <c r="C40" s="219">
        <f t="shared" si="1"/>
        <v>97292</v>
      </c>
      <c r="D40" s="220">
        <v>65834</v>
      </c>
      <c r="E40" s="220">
        <v>25475</v>
      </c>
      <c r="F40" s="220">
        <v>1</v>
      </c>
      <c r="G40" s="220">
        <v>4302</v>
      </c>
      <c r="H40" s="220">
        <v>605</v>
      </c>
      <c r="I40" s="218">
        <v>1075</v>
      </c>
      <c r="J40" s="220">
        <f t="shared" si="6"/>
        <v>98449</v>
      </c>
      <c r="K40" s="221">
        <v>96130</v>
      </c>
      <c r="L40" s="221">
        <v>2319</v>
      </c>
    </row>
    <row r="41" spans="1:12" hidden="1" x14ac:dyDescent="0.2">
      <c r="A41" s="217" t="s">
        <v>280</v>
      </c>
      <c r="B41" s="218">
        <f t="shared" si="0"/>
        <v>154437</v>
      </c>
      <c r="C41" s="219">
        <f t="shared" si="1"/>
        <v>86448</v>
      </c>
      <c r="D41" s="220">
        <v>60675</v>
      </c>
      <c r="E41" s="220">
        <v>19973</v>
      </c>
      <c r="F41" s="220">
        <v>0</v>
      </c>
      <c r="G41" s="220">
        <v>4373</v>
      </c>
      <c r="H41" s="220">
        <v>425</v>
      </c>
      <c r="I41" s="218">
        <v>1002</v>
      </c>
      <c r="J41" s="220">
        <f t="shared" si="6"/>
        <v>67989</v>
      </c>
      <c r="K41" s="221">
        <v>61179</v>
      </c>
      <c r="L41" s="221">
        <v>6810</v>
      </c>
    </row>
    <row r="42" spans="1:12" hidden="1" x14ac:dyDescent="0.2">
      <c r="A42" s="217" t="s">
        <v>281</v>
      </c>
      <c r="B42" s="218">
        <f t="shared" si="0"/>
        <v>189335</v>
      </c>
      <c r="C42" s="219">
        <f t="shared" si="1"/>
        <v>101298</v>
      </c>
      <c r="D42" s="220">
        <v>74518</v>
      </c>
      <c r="E42" s="220">
        <v>19563</v>
      </c>
      <c r="F42" s="220">
        <v>0</v>
      </c>
      <c r="G42" s="220">
        <v>5469</v>
      </c>
      <c r="H42" s="220">
        <v>508</v>
      </c>
      <c r="I42" s="218">
        <v>1240</v>
      </c>
      <c r="J42" s="220">
        <f t="shared" si="6"/>
        <v>88037</v>
      </c>
      <c r="K42" s="221">
        <v>85627</v>
      </c>
      <c r="L42" s="221">
        <v>2410</v>
      </c>
    </row>
    <row r="43" spans="1:12" hidden="1" x14ac:dyDescent="0.2">
      <c r="A43" s="217" t="s">
        <v>282</v>
      </c>
      <c r="B43" s="218">
        <f t="shared" ref="B43:B64" si="7">C43+J43</f>
        <v>140120</v>
      </c>
      <c r="C43" s="219">
        <f t="shared" ref="C43:C64" si="8">D43+E43+F43+G43+H43+I43</f>
        <v>80664</v>
      </c>
      <c r="D43" s="220">
        <v>60460</v>
      </c>
      <c r="E43" s="220">
        <v>15046</v>
      </c>
      <c r="F43" s="220">
        <v>1</v>
      </c>
      <c r="G43" s="220">
        <v>3770</v>
      </c>
      <c r="H43" s="220">
        <v>437</v>
      </c>
      <c r="I43" s="218">
        <v>950</v>
      </c>
      <c r="J43" s="220">
        <f t="shared" si="6"/>
        <v>59456</v>
      </c>
      <c r="K43" s="221">
        <v>53604</v>
      </c>
      <c r="L43" s="221">
        <v>5852</v>
      </c>
    </row>
    <row r="44" spans="1:12" hidden="1" x14ac:dyDescent="0.2">
      <c r="A44" s="217" t="s">
        <v>283</v>
      </c>
      <c r="B44" s="218">
        <f t="shared" si="7"/>
        <v>214037</v>
      </c>
      <c r="C44" s="219">
        <f t="shared" si="8"/>
        <v>98207</v>
      </c>
      <c r="D44" s="220">
        <v>67167</v>
      </c>
      <c r="E44" s="220">
        <v>25126</v>
      </c>
      <c r="F44" s="220">
        <v>0</v>
      </c>
      <c r="G44" s="220">
        <v>4377</v>
      </c>
      <c r="H44" s="220">
        <v>433</v>
      </c>
      <c r="I44" s="218">
        <v>1104</v>
      </c>
      <c r="J44" s="220">
        <f t="shared" ref="J44:J49" si="9">K44+L44</f>
        <v>115830</v>
      </c>
      <c r="K44" s="221">
        <v>107358</v>
      </c>
      <c r="L44" s="221">
        <v>8472</v>
      </c>
    </row>
    <row r="45" spans="1:12" hidden="1" x14ac:dyDescent="0.2">
      <c r="A45" s="217" t="s">
        <v>284</v>
      </c>
      <c r="B45" s="218">
        <f t="shared" si="7"/>
        <v>167179</v>
      </c>
      <c r="C45" s="219">
        <f t="shared" si="8"/>
        <v>85892</v>
      </c>
      <c r="D45" s="220">
        <v>59245</v>
      </c>
      <c r="E45" s="220">
        <v>20230</v>
      </c>
      <c r="F45" s="220">
        <v>1</v>
      </c>
      <c r="G45" s="220">
        <v>4772</v>
      </c>
      <c r="H45" s="220">
        <v>541</v>
      </c>
      <c r="I45" s="218">
        <v>1103</v>
      </c>
      <c r="J45" s="220">
        <f t="shared" si="9"/>
        <v>81287</v>
      </c>
      <c r="K45" s="221">
        <v>77952</v>
      </c>
      <c r="L45" s="221">
        <v>3335</v>
      </c>
    </row>
    <row r="46" spans="1:12" hidden="1" x14ac:dyDescent="0.2">
      <c r="A46" s="217" t="s">
        <v>285</v>
      </c>
      <c r="B46" s="218">
        <f t="shared" si="7"/>
        <v>181117</v>
      </c>
      <c r="C46" s="219">
        <f t="shared" si="8"/>
        <v>98056</v>
      </c>
      <c r="D46" s="220">
        <v>71659</v>
      </c>
      <c r="E46" s="220">
        <v>19219</v>
      </c>
      <c r="F46" s="220">
        <v>0</v>
      </c>
      <c r="G46" s="220">
        <v>5359</v>
      </c>
      <c r="H46" s="220">
        <v>602</v>
      </c>
      <c r="I46" s="218">
        <v>1217</v>
      </c>
      <c r="J46" s="220">
        <f t="shared" si="9"/>
        <v>83061</v>
      </c>
      <c r="K46" s="221">
        <v>77728</v>
      </c>
      <c r="L46" s="221">
        <v>5333</v>
      </c>
    </row>
    <row r="47" spans="1:12" x14ac:dyDescent="0.2">
      <c r="A47" s="37" t="s">
        <v>286</v>
      </c>
      <c r="B47" s="104">
        <f t="shared" si="7"/>
        <v>192680</v>
      </c>
      <c r="C47" s="25">
        <f t="shared" si="8"/>
        <v>90093</v>
      </c>
      <c r="D47" s="100">
        <v>4896</v>
      </c>
      <c r="E47" s="100">
        <v>84011</v>
      </c>
      <c r="F47" s="100">
        <v>0</v>
      </c>
      <c r="G47" s="100">
        <v>0</v>
      </c>
      <c r="H47" s="100">
        <v>0</v>
      </c>
      <c r="I47" s="102">
        <v>1186</v>
      </c>
      <c r="J47" s="92">
        <f t="shared" si="9"/>
        <v>102587</v>
      </c>
      <c r="K47" s="103">
        <v>78150</v>
      </c>
      <c r="L47" s="103">
        <v>24437</v>
      </c>
    </row>
    <row r="48" spans="1:12" x14ac:dyDescent="0.2">
      <c r="A48" s="37" t="s">
        <v>299</v>
      </c>
      <c r="B48" s="104">
        <f t="shared" si="7"/>
        <v>225555</v>
      </c>
      <c r="C48" s="25">
        <f t="shared" si="8"/>
        <v>93628</v>
      </c>
      <c r="D48" s="100">
        <v>70057</v>
      </c>
      <c r="E48" s="100">
        <v>21681</v>
      </c>
      <c r="F48" s="100">
        <v>0</v>
      </c>
      <c r="G48" s="100">
        <v>0</v>
      </c>
      <c r="H48" s="100">
        <v>0</v>
      </c>
      <c r="I48" s="102">
        <v>1890</v>
      </c>
      <c r="J48" s="92">
        <f t="shared" si="9"/>
        <v>131927</v>
      </c>
      <c r="K48" s="103">
        <v>101414</v>
      </c>
      <c r="L48" s="103">
        <v>30513</v>
      </c>
    </row>
    <row r="49" spans="1:12" x14ac:dyDescent="0.2">
      <c r="A49" s="37" t="s">
        <v>304</v>
      </c>
      <c r="B49" s="104">
        <f t="shared" si="7"/>
        <v>237825</v>
      </c>
      <c r="C49" s="25">
        <f t="shared" si="8"/>
        <v>111805</v>
      </c>
      <c r="D49" s="100">
        <v>87108</v>
      </c>
      <c r="E49" s="100">
        <v>23705</v>
      </c>
      <c r="F49" s="100">
        <v>0</v>
      </c>
      <c r="G49" s="100">
        <v>0</v>
      </c>
      <c r="H49" s="100">
        <v>0</v>
      </c>
      <c r="I49" s="102">
        <v>992</v>
      </c>
      <c r="J49" s="92">
        <f t="shared" si="9"/>
        <v>126020</v>
      </c>
      <c r="K49" s="103">
        <v>97318</v>
      </c>
      <c r="L49" s="103">
        <v>28702</v>
      </c>
    </row>
    <row r="50" spans="1:12" x14ac:dyDescent="0.2">
      <c r="A50" s="37" t="s">
        <v>327</v>
      </c>
      <c r="B50" s="104">
        <f t="shared" si="7"/>
        <v>217252</v>
      </c>
      <c r="C50" s="25">
        <f t="shared" si="8"/>
        <v>101262</v>
      </c>
      <c r="D50" s="100">
        <v>67661</v>
      </c>
      <c r="E50" s="100">
        <v>20568</v>
      </c>
      <c r="F50" s="100">
        <v>0</v>
      </c>
      <c r="G50" s="100">
        <v>0</v>
      </c>
      <c r="H50" s="100">
        <v>0</v>
      </c>
      <c r="I50" s="102">
        <v>13033</v>
      </c>
      <c r="J50" s="92">
        <f t="shared" ref="J50:J55" si="10">K50+L50</f>
        <v>115990</v>
      </c>
      <c r="K50" s="103">
        <v>92704</v>
      </c>
      <c r="L50" s="103">
        <v>23286</v>
      </c>
    </row>
    <row r="51" spans="1:12" x14ac:dyDescent="0.2">
      <c r="A51" s="37" t="s">
        <v>329</v>
      </c>
      <c r="B51" s="104">
        <f t="shared" si="7"/>
        <v>224552</v>
      </c>
      <c r="C51" s="25">
        <f t="shared" si="8"/>
        <v>96227</v>
      </c>
      <c r="D51" s="100">
        <v>64455</v>
      </c>
      <c r="E51" s="100">
        <v>18899</v>
      </c>
      <c r="F51" s="100">
        <v>0</v>
      </c>
      <c r="G51" s="100">
        <v>0</v>
      </c>
      <c r="H51" s="100">
        <v>0</v>
      </c>
      <c r="I51" s="102">
        <v>12873</v>
      </c>
      <c r="J51" s="92">
        <f t="shared" si="10"/>
        <v>128325</v>
      </c>
      <c r="K51" s="103">
        <v>100540</v>
      </c>
      <c r="L51" s="103">
        <v>27785</v>
      </c>
    </row>
    <row r="52" spans="1:12" x14ac:dyDescent="0.2">
      <c r="A52" s="37" t="s">
        <v>330</v>
      </c>
      <c r="B52" s="104">
        <f t="shared" si="7"/>
        <v>221585</v>
      </c>
      <c r="C52" s="25">
        <f t="shared" si="8"/>
        <v>94518</v>
      </c>
      <c r="D52" s="100">
        <v>63905</v>
      </c>
      <c r="E52" s="100">
        <v>14819</v>
      </c>
      <c r="F52" s="100">
        <v>0</v>
      </c>
      <c r="G52" s="100">
        <v>0</v>
      </c>
      <c r="H52" s="100">
        <v>0</v>
      </c>
      <c r="I52" s="102">
        <v>15794</v>
      </c>
      <c r="J52" s="92">
        <f t="shared" si="10"/>
        <v>127067</v>
      </c>
      <c r="K52" s="103">
        <v>97968</v>
      </c>
      <c r="L52" s="103">
        <v>29099</v>
      </c>
    </row>
    <row r="53" spans="1:12" x14ac:dyDescent="0.2">
      <c r="A53" s="37" t="s">
        <v>332</v>
      </c>
      <c r="B53" s="104">
        <f t="shared" si="7"/>
        <v>210246</v>
      </c>
      <c r="C53" s="25">
        <f t="shared" si="8"/>
        <v>101438</v>
      </c>
      <c r="D53" s="100">
        <v>71188</v>
      </c>
      <c r="E53" s="100">
        <v>15436</v>
      </c>
      <c r="F53" s="100">
        <v>0</v>
      </c>
      <c r="G53" s="100">
        <v>0</v>
      </c>
      <c r="H53" s="100">
        <v>0</v>
      </c>
      <c r="I53" s="102">
        <v>14814</v>
      </c>
      <c r="J53" s="92">
        <f t="shared" si="10"/>
        <v>108808</v>
      </c>
      <c r="K53" s="103">
        <v>80812</v>
      </c>
      <c r="L53" s="103">
        <v>27996</v>
      </c>
    </row>
    <row r="54" spans="1:12" x14ac:dyDescent="0.2">
      <c r="A54" s="37" t="s">
        <v>335</v>
      </c>
      <c r="B54" s="104">
        <f t="shared" si="7"/>
        <v>237053</v>
      </c>
      <c r="C54" s="25">
        <f t="shared" si="8"/>
        <v>95094</v>
      </c>
      <c r="D54" s="100">
        <v>61073</v>
      </c>
      <c r="E54" s="100">
        <v>12612</v>
      </c>
      <c r="F54" s="100">
        <v>0</v>
      </c>
      <c r="G54" s="100">
        <v>0</v>
      </c>
      <c r="H54" s="100">
        <v>0</v>
      </c>
      <c r="I54" s="102">
        <v>21409</v>
      </c>
      <c r="J54" s="92">
        <f t="shared" si="10"/>
        <v>141959</v>
      </c>
      <c r="K54" s="103">
        <v>116026</v>
      </c>
      <c r="L54" s="103">
        <v>25933</v>
      </c>
    </row>
    <row r="55" spans="1:12" x14ac:dyDescent="0.2">
      <c r="A55" s="37" t="s">
        <v>337</v>
      </c>
      <c r="B55" s="104">
        <f t="shared" si="7"/>
        <v>208814</v>
      </c>
      <c r="C55" s="25">
        <f t="shared" si="8"/>
        <v>82744</v>
      </c>
      <c r="D55" s="100">
        <v>54393</v>
      </c>
      <c r="E55" s="100">
        <v>11279</v>
      </c>
      <c r="F55" s="100">
        <v>0</v>
      </c>
      <c r="G55" s="100">
        <v>0</v>
      </c>
      <c r="H55" s="100">
        <v>0</v>
      </c>
      <c r="I55" s="102">
        <v>17072</v>
      </c>
      <c r="J55" s="92">
        <f t="shared" si="10"/>
        <v>126070</v>
      </c>
      <c r="K55" s="103">
        <v>101327</v>
      </c>
      <c r="L55" s="103">
        <v>24743</v>
      </c>
    </row>
    <row r="56" spans="1:12" x14ac:dyDescent="0.2">
      <c r="A56" s="37" t="s">
        <v>338</v>
      </c>
      <c r="B56" s="104">
        <f t="shared" si="7"/>
        <v>261150</v>
      </c>
      <c r="C56" s="25">
        <f t="shared" si="8"/>
        <v>96350</v>
      </c>
      <c r="D56" s="100">
        <v>61887</v>
      </c>
      <c r="E56" s="100">
        <v>10560</v>
      </c>
      <c r="F56" s="100">
        <v>0</v>
      </c>
      <c r="G56" s="100">
        <v>0</v>
      </c>
      <c r="H56" s="100">
        <v>0</v>
      </c>
      <c r="I56" s="102">
        <v>23903</v>
      </c>
      <c r="J56" s="92">
        <f t="shared" ref="J56:J61" si="11">K56+L56</f>
        <v>164800</v>
      </c>
      <c r="K56" s="103">
        <v>137950</v>
      </c>
      <c r="L56" s="103">
        <v>26850</v>
      </c>
    </row>
    <row r="57" spans="1:12" x14ac:dyDescent="0.2">
      <c r="A57" s="37" t="s">
        <v>339</v>
      </c>
      <c r="B57" s="104">
        <f t="shared" si="7"/>
        <v>234126</v>
      </c>
      <c r="C57" s="25">
        <f t="shared" si="8"/>
        <v>106644</v>
      </c>
      <c r="D57" s="100">
        <v>69766</v>
      </c>
      <c r="E57" s="100">
        <v>11853</v>
      </c>
      <c r="F57" s="100">
        <v>0</v>
      </c>
      <c r="G57" s="100">
        <v>0</v>
      </c>
      <c r="H57" s="100">
        <v>0</v>
      </c>
      <c r="I57" s="102">
        <v>25025</v>
      </c>
      <c r="J57" s="92">
        <f t="shared" si="11"/>
        <v>127482</v>
      </c>
      <c r="K57" s="103">
        <v>99463</v>
      </c>
      <c r="L57" s="103">
        <v>28019</v>
      </c>
    </row>
    <row r="58" spans="1:12" x14ac:dyDescent="0.2">
      <c r="A58" s="37" t="s">
        <v>340</v>
      </c>
      <c r="B58" s="104">
        <f t="shared" si="7"/>
        <v>220228</v>
      </c>
      <c r="C58" s="25">
        <f t="shared" si="8"/>
        <v>96916</v>
      </c>
      <c r="D58" s="100">
        <v>60836</v>
      </c>
      <c r="E58" s="100">
        <v>10468</v>
      </c>
      <c r="F58" s="100">
        <v>0</v>
      </c>
      <c r="G58" s="100">
        <v>0</v>
      </c>
      <c r="H58" s="100">
        <v>0</v>
      </c>
      <c r="I58" s="102">
        <v>25612</v>
      </c>
      <c r="J58" s="92">
        <f t="shared" si="11"/>
        <v>123312</v>
      </c>
      <c r="K58" s="103">
        <v>100881</v>
      </c>
      <c r="L58" s="103">
        <v>22431</v>
      </c>
    </row>
    <row r="59" spans="1:12" x14ac:dyDescent="0.2">
      <c r="A59" s="37" t="s">
        <v>342</v>
      </c>
      <c r="B59" s="104">
        <f t="shared" si="7"/>
        <v>218383</v>
      </c>
      <c r="C59" s="25">
        <f t="shared" si="8"/>
        <v>82376</v>
      </c>
      <c r="D59" s="100">
        <v>54454</v>
      </c>
      <c r="E59" s="100">
        <v>7453</v>
      </c>
      <c r="F59" s="100">
        <v>0</v>
      </c>
      <c r="G59" s="100">
        <v>0</v>
      </c>
      <c r="H59" s="100">
        <v>0</v>
      </c>
      <c r="I59" s="102">
        <v>20469</v>
      </c>
      <c r="J59" s="92">
        <f t="shared" si="11"/>
        <v>136007</v>
      </c>
      <c r="K59" s="103">
        <v>112164</v>
      </c>
      <c r="L59" s="103">
        <v>23843</v>
      </c>
    </row>
    <row r="60" spans="1:12" x14ac:dyDescent="0.2">
      <c r="A60" s="37" t="s">
        <v>343</v>
      </c>
      <c r="B60" s="104">
        <f t="shared" si="7"/>
        <v>255115</v>
      </c>
      <c r="C60" s="25">
        <f t="shared" si="8"/>
        <v>95064</v>
      </c>
      <c r="D60" s="100">
        <v>58519</v>
      </c>
      <c r="E60" s="100">
        <v>8258</v>
      </c>
      <c r="F60" s="100">
        <v>0</v>
      </c>
      <c r="G60" s="100">
        <v>0</v>
      </c>
      <c r="H60" s="100">
        <v>0</v>
      </c>
      <c r="I60" s="102">
        <v>28287</v>
      </c>
      <c r="J60" s="92">
        <f t="shared" si="11"/>
        <v>160051</v>
      </c>
      <c r="K60" s="103">
        <v>134069</v>
      </c>
      <c r="L60" s="103">
        <v>25982</v>
      </c>
    </row>
    <row r="61" spans="1:12" x14ac:dyDescent="0.2">
      <c r="A61" s="37" t="s">
        <v>344</v>
      </c>
      <c r="B61" s="104">
        <f t="shared" si="7"/>
        <v>223601</v>
      </c>
      <c r="C61" s="25">
        <f t="shared" si="8"/>
        <v>102553</v>
      </c>
      <c r="D61" s="100">
        <v>63786</v>
      </c>
      <c r="E61" s="100">
        <v>8970</v>
      </c>
      <c r="F61" s="100">
        <v>0</v>
      </c>
      <c r="G61" s="100">
        <v>0</v>
      </c>
      <c r="H61" s="100">
        <v>0</v>
      </c>
      <c r="I61" s="102">
        <v>29797</v>
      </c>
      <c r="J61" s="92">
        <f t="shared" si="11"/>
        <v>121048</v>
      </c>
      <c r="K61" s="103">
        <v>93113</v>
      </c>
      <c r="L61" s="103">
        <v>27935</v>
      </c>
    </row>
    <row r="62" spans="1:12" x14ac:dyDescent="0.2">
      <c r="A62" s="37" t="s">
        <v>376</v>
      </c>
      <c r="B62" s="104">
        <f t="shared" ref="B62" si="12">C62+J62</f>
        <v>310501</v>
      </c>
      <c r="C62" s="25">
        <f t="shared" ref="C62" si="13">D62+E62+F62+G62+H62+I62</f>
        <v>131576</v>
      </c>
      <c r="D62" s="100">
        <v>72544</v>
      </c>
      <c r="E62" s="100">
        <v>15495</v>
      </c>
      <c r="F62" s="100">
        <v>0</v>
      </c>
      <c r="G62" s="100">
        <v>0</v>
      </c>
      <c r="H62" s="100">
        <v>0</v>
      </c>
      <c r="I62" s="102">
        <v>43537</v>
      </c>
      <c r="J62" s="92">
        <f t="shared" ref="J62" si="14">K62+L62</f>
        <v>178925</v>
      </c>
      <c r="K62" s="103">
        <v>148017</v>
      </c>
      <c r="L62" s="103">
        <v>30908</v>
      </c>
    </row>
    <row r="63" spans="1:12" x14ac:dyDescent="0.2">
      <c r="A63" s="37" t="s">
        <v>382</v>
      </c>
      <c r="B63" s="104">
        <f t="shared" ref="B63" si="15">C63+J63</f>
        <v>254621</v>
      </c>
      <c r="C63" s="25">
        <f t="shared" ref="C63" si="16">D63+E63+F63+G63+H63+I63</f>
        <v>109447</v>
      </c>
      <c r="D63" s="100">
        <v>65801</v>
      </c>
      <c r="E63" s="100">
        <v>11812</v>
      </c>
      <c r="F63" s="100">
        <v>0</v>
      </c>
      <c r="G63" s="100">
        <v>0</v>
      </c>
      <c r="H63" s="100">
        <v>0</v>
      </c>
      <c r="I63" s="102">
        <v>31834</v>
      </c>
      <c r="J63" s="92">
        <f t="shared" ref="J63" si="17">K63+L63</f>
        <v>145174</v>
      </c>
      <c r="K63" s="103">
        <v>118648</v>
      </c>
      <c r="L63" s="103">
        <v>26526</v>
      </c>
    </row>
    <row r="64" spans="1:12" x14ac:dyDescent="0.2">
      <c r="A64" s="37" t="s">
        <v>369</v>
      </c>
      <c r="B64" s="104">
        <f t="shared" si="7"/>
        <v>255107</v>
      </c>
      <c r="C64" s="25">
        <f t="shared" si="8"/>
        <v>103971</v>
      </c>
      <c r="D64" s="100">
        <v>65924</v>
      </c>
      <c r="E64" s="100">
        <v>7607</v>
      </c>
      <c r="F64" s="100">
        <v>0</v>
      </c>
      <c r="G64" s="100">
        <v>0</v>
      </c>
      <c r="H64" s="100">
        <v>0</v>
      </c>
      <c r="I64" s="102">
        <v>30440</v>
      </c>
      <c r="J64" s="92">
        <f t="shared" ref="J64" si="18">K64+L64</f>
        <v>151136</v>
      </c>
      <c r="K64" s="103">
        <v>129301</v>
      </c>
      <c r="L64" s="103">
        <v>21835</v>
      </c>
    </row>
    <row r="65" spans="1:12" x14ac:dyDescent="0.2">
      <c r="A65" s="37" t="s">
        <v>379</v>
      </c>
      <c r="B65" s="104">
        <f t="shared" ref="B65" si="19">C65+J65</f>
        <v>229514</v>
      </c>
      <c r="C65" s="25">
        <f t="shared" ref="C65" si="20">D65+E65+F65+G65+H65+I65</f>
        <v>103850</v>
      </c>
      <c r="D65" s="100">
        <v>68488</v>
      </c>
      <c r="E65" s="100">
        <v>7063</v>
      </c>
      <c r="F65" s="100">
        <v>0</v>
      </c>
      <c r="G65" s="100">
        <v>0</v>
      </c>
      <c r="H65" s="100">
        <v>0</v>
      </c>
      <c r="I65" s="102">
        <v>28299</v>
      </c>
      <c r="J65" s="92">
        <f t="shared" ref="J65" si="21">K65+L65</f>
        <v>125664</v>
      </c>
      <c r="K65" s="103">
        <v>102110</v>
      </c>
      <c r="L65" s="103">
        <v>23554</v>
      </c>
    </row>
    <row r="67" spans="1:12" x14ac:dyDescent="0.2">
      <c r="C67" s="25">
        <f>SUM(C62:C65)</f>
        <v>448844</v>
      </c>
      <c r="D67" t="s">
        <v>258</v>
      </c>
    </row>
    <row r="68" spans="1:12" x14ac:dyDescent="0.2">
      <c r="C68" s="143">
        <f>C67/'Tabell 7 ny'!D85</f>
        <v>8.3221359538322479E-2</v>
      </c>
      <c r="D68" t="s">
        <v>259</v>
      </c>
    </row>
  </sheetData>
  <mergeCells count="3">
    <mergeCell ref="J4:L4"/>
    <mergeCell ref="J5:L5"/>
    <mergeCell ref="C3:I3"/>
  </mergeCells>
  <phoneticPr fontId="0" type="noConversion"/>
  <pageMargins left="0.75" right="0.75" top="1" bottom="1" header="0.5" footer="0.5"/>
  <pageSetup paperSize="9" scale="9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30"/>
  <sheetViews>
    <sheetView zoomScale="93" zoomScaleNormal="93" workbookViewId="0">
      <selection activeCell="R26" sqref="R26"/>
    </sheetView>
  </sheetViews>
  <sheetFormatPr baseColWidth="10" defaultRowHeight="12.75" x14ac:dyDescent="0.2"/>
  <cols>
    <col min="1" max="1" width="13.28515625" customWidth="1"/>
    <col min="2" max="3" width="11.42578125" style="106"/>
  </cols>
  <sheetData>
    <row r="1" spans="1:1" x14ac:dyDescent="0.2">
      <c r="A1" s="26" t="s">
        <v>380</v>
      </c>
    </row>
    <row r="2" spans="1:1" x14ac:dyDescent="0.2">
      <c r="A2" s="26"/>
    </row>
    <row r="3" spans="1:1" x14ac:dyDescent="0.2">
      <c r="A3" s="26"/>
    </row>
    <row r="4" spans="1:1" x14ac:dyDescent="0.2">
      <c r="A4" s="26"/>
    </row>
    <row r="5" spans="1:1" x14ac:dyDescent="0.2">
      <c r="A5" s="26"/>
    </row>
    <row r="6" spans="1:1" x14ac:dyDescent="0.2">
      <c r="A6" s="26"/>
    </row>
    <row r="7" spans="1:1" x14ac:dyDescent="0.2">
      <c r="A7" s="26"/>
    </row>
    <row r="8" spans="1:1" x14ac:dyDescent="0.2">
      <c r="A8" s="26"/>
    </row>
    <row r="9" spans="1:1" x14ac:dyDescent="0.2">
      <c r="A9" s="26"/>
    </row>
    <row r="10" spans="1:1" x14ac:dyDescent="0.2">
      <c r="A10" s="26"/>
    </row>
    <row r="11" spans="1:1" x14ac:dyDescent="0.2">
      <c r="A11" s="26"/>
    </row>
    <row r="12" spans="1:1" x14ac:dyDescent="0.2">
      <c r="A12" s="26"/>
    </row>
    <row r="13" spans="1:1" x14ac:dyDescent="0.2">
      <c r="A13" s="26"/>
    </row>
    <row r="14" spans="1:1" x14ac:dyDescent="0.2">
      <c r="A14" s="26"/>
    </row>
    <row r="15" spans="1:1" x14ac:dyDescent="0.2">
      <c r="A15" s="26"/>
    </row>
    <row r="16" spans="1:1" x14ac:dyDescent="0.2">
      <c r="A16" s="26"/>
    </row>
    <row r="17" spans="1:18" x14ac:dyDescent="0.2">
      <c r="A17" s="26"/>
    </row>
    <row r="18" spans="1:18" x14ac:dyDescent="0.2">
      <c r="A18" s="26"/>
    </row>
    <row r="19" spans="1:18" x14ac:dyDescent="0.2">
      <c r="A19" s="32"/>
    </row>
    <row r="20" spans="1:18" x14ac:dyDescent="0.2">
      <c r="A20" s="32"/>
    </row>
    <row r="21" spans="1:18" x14ac:dyDescent="0.2">
      <c r="A21" s="32"/>
      <c r="B21" s="118">
        <v>2004</v>
      </c>
      <c r="C21" s="118">
        <v>2005</v>
      </c>
      <c r="D21" s="118">
        <v>2006</v>
      </c>
      <c r="E21" s="118">
        <v>2007</v>
      </c>
      <c r="F21" s="118">
        <v>2008</v>
      </c>
      <c r="G21" s="118">
        <v>2009</v>
      </c>
      <c r="H21" s="118">
        <v>2010</v>
      </c>
      <c r="I21" s="118">
        <v>2011</v>
      </c>
      <c r="J21" s="118">
        <v>2012</v>
      </c>
      <c r="K21" s="118">
        <v>2013</v>
      </c>
      <c r="L21" s="118">
        <v>2014</v>
      </c>
      <c r="M21" s="118">
        <v>2015</v>
      </c>
      <c r="N21" s="118">
        <v>2016</v>
      </c>
      <c r="O21" s="118">
        <v>2017</v>
      </c>
      <c r="P21" s="118">
        <v>2018</v>
      </c>
      <c r="Q21" s="118">
        <v>2019</v>
      </c>
      <c r="R21" s="118">
        <v>2020</v>
      </c>
    </row>
    <row r="22" spans="1:18" x14ac:dyDescent="0.2">
      <c r="A22" s="37" t="s">
        <v>216</v>
      </c>
      <c r="B22" s="56" t="e">
        <f>'Tabell 9'!#REF!</f>
        <v>#REF!</v>
      </c>
      <c r="C22" s="56" t="e">
        <f>'Tabell 9'!#REF!</f>
        <v>#REF!</v>
      </c>
      <c r="D22" s="56" t="e">
        <f>'Tabell 9'!#REF!</f>
        <v>#REF!</v>
      </c>
      <c r="E22" s="56" t="e">
        <f>'Tabell 9'!#REF!</f>
        <v>#REF!</v>
      </c>
      <c r="F22" s="56">
        <f>'Tabell 9'!C14</f>
        <v>90723</v>
      </c>
      <c r="G22" s="25">
        <f>'Tabell 9'!C18</f>
        <v>94947</v>
      </c>
      <c r="H22" s="25">
        <f>'Tabell 9'!C22</f>
        <v>70932</v>
      </c>
      <c r="I22" s="25">
        <f>'Tabell 9'!C26</f>
        <v>92193</v>
      </c>
      <c r="J22" s="25">
        <f>'Tabell 9'!C30</f>
        <v>92415</v>
      </c>
      <c r="K22" s="25">
        <f>'Tabell 9'!C34</f>
        <v>89991</v>
      </c>
      <c r="L22" s="25">
        <f>'Tabell 9'!C38</f>
        <v>104791</v>
      </c>
      <c r="M22" s="25">
        <f>'Tabell 9'!C42</f>
        <v>101298</v>
      </c>
      <c r="N22" s="25">
        <f>'Tabell 9'!C46</f>
        <v>98056</v>
      </c>
      <c r="O22" s="25">
        <f>'Tabell 9'!C50</f>
        <v>101262</v>
      </c>
      <c r="P22" s="25">
        <f>'Tabell 9'!C54</f>
        <v>95094</v>
      </c>
      <c r="Q22" s="25">
        <f>'Tabell 9'!C58</f>
        <v>96916</v>
      </c>
      <c r="R22" s="25">
        <f>'Tabell 9'!C62</f>
        <v>131576</v>
      </c>
    </row>
    <row r="23" spans="1:18" x14ac:dyDescent="0.2">
      <c r="A23" s="37" t="s">
        <v>217</v>
      </c>
      <c r="B23" s="56" t="e">
        <f>'Tabell 9'!#REF!</f>
        <v>#REF!</v>
      </c>
      <c r="C23" s="56" t="e">
        <f>'Tabell 9'!#REF!</f>
        <v>#REF!</v>
      </c>
      <c r="D23" s="56" t="e">
        <f>'Tabell 9'!#REF!</f>
        <v>#REF!</v>
      </c>
      <c r="E23" s="56">
        <f>'Tabell 9'!C11</f>
        <v>68421</v>
      </c>
      <c r="F23" s="56">
        <f>'Tabell 9'!C15</f>
        <v>73557</v>
      </c>
      <c r="G23" s="25">
        <f>'Tabell 9'!C19</f>
        <v>69763</v>
      </c>
      <c r="H23" s="25">
        <f>'Tabell 9'!C23</f>
        <v>61617</v>
      </c>
      <c r="I23" s="25">
        <f>'Tabell 9'!C27</f>
        <v>69866</v>
      </c>
      <c r="J23" s="25">
        <f>'Tabell 9'!C31</f>
        <v>67606</v>
      </c>
      <c r="K23" s="25">
        <f>'Tabell 9'!C35</f>
        <v>24352</v>
      </c>
      <c r="L23" s="25">
        <f>'Tabell 9'!C39</f>
        <v>77614</v>
      </c>
      <c r="M23" s="25">
        <f>'Tabell 9'!C43</f>
        <v>80664</v>
      </c>
      <c r="N23" s="25">
        <f>'Tabell 9'!C47</f>
        <v>90093</v>
      </c>
      <c r="O23" s="25">
        <f>'Tabell 9'!C51</f>
        <v>96227</v>
      </c>
      <c r="P23" s="25">
        <f>'Tabell 9'!C55</f>
        <v>82744</v>
      </c>
      <c r="Q23" s="25">
        <f>'Tabell 9'!C59</f>
        <v>82376</v>
      </c>
      <c r="R23" s="25">
        <f>'Tabell 9'!C63</f>
        <v>109447</v>
      </c>
    </row>
    <row r="24" spans="1:18" x14ac:dyDescent="0.2">
      <c r="A24" s="37" t="s">
        <v>218</v>
      </c>
      <c r="B24" s="56" t="e">
        <f>'Tabell 9'!#REF!</f>
        <v>#REF!</v>
      </c>
      <c r="C24" s="56" t="e">
        <f>'Tabell 9'!#REF!</f>
        <v>#REF!</v>
      </c>
      <c r="D24" s="56" t="e">
        <f>'Tabell 9'!#REF!</f>
        <v>#REF!</v>
      </c>
      <c r="E24" s="56">
        <f>'Tabell 9'!C12</f>
        <v>85901</v>
      </c>
      <c r="F24" s="56">
        <f>'Tabell 9'!C16</f>
        <v>87435</v>
      </c>
      <c r="G24" s="25">
        <f>'Tabell 9'!C20</f>
        <v>81935</v>
      </c>
      <c r="H24" s="25">
        <f>'Tabell 9'!C24</f>
        <v>81430</v>
      </c>
      <c r="I24" s="25">
        <f>'Tabell 9'!C28</f>
        <v>84813</v>
      </c>
      <c r="J24" s="25">
        <f>'Tabell 9'!C32</f>
        <v>88275</v>
      </c>
      <c r="K24" s="25">
        <f>'Tabell 9'!C36</f>
        <v>122154</v>
      </c>
      <c r="L24" s="25">
        <f>'Tabell 9'!C40</f>
        <v>97292</v>
      </c>
      <c r="M24" s="25">
        <f>'Tabell 9'!C44</f>
        <v>98207</v>
      </c>
      <c r="N24" s="25">
        <f>'Tabell 9'!C48</f>
        <v>93628</v>
      </c>
      <c r="O24" s="25">
        <f>'Tabell 9'!C52</f>
        <v>94518</v>
      </c>
      <c r="P24" s="25">
        <f>'Tabell 9'!C56</f>
        <v>96350</v>
      </c>
      <c r="Q24" s="25">
        <f>'Tabell 9'!C60</f>
        <v>95064</v>
      </c>
      <c r="R24" s="25">
        <f>'Tabell 9'!C64</f>
        <v>103971</v>
      </c>
    </row>
    <row r="25" spans="1:18" s="16" customFormat="1" x14ac:dyDescent="0.2">
      <c r="A25" s="37" t="s">
        <v>219</v>
      </c>
      <c r="B25" s="56" t="e">
        <f>'Tabell 9'!#REF!</f>
        <v>#REF!</v>
      </c>
      <c r="C25" s="56" t="e">
        <f>'Tabell 9'!#REF!</f>
        <v>#REF!</v>
      </c>
      <c r="D25" s="56" t="e">
        <f>'Tabell 9'!#REF!</f>
        <v>#REF!</v>
      </c>
      <c r="E25" s="56">
        <f>'Tabell 9'!C13</f>
        <v>80858</v>
      </c>
      <c r="F25" s="56">
        <f>'Tabell 9'!C17</f>
        <v>84484</v>
      </c>
      <c r="G25" s="29">
        <f>'Tabell 9'!C21</f>
        <v>64370</v>
      </c>
      <c r="H25" s="25">
        <f>'Tabell 9'!C25</f>
        <v>72712</v>
      </c>
      <c r="I25" s="25">
        <f>'Tabell 9'!C29</f>
        <v>79846</v>
      </c>
      <c r="J25" s="25">
        <f>'Tabell 9'!C33</f>
        <v>79567</v>
      </c>
      <c r="K25" s="25">
        <f>'Tabell 9'!C37</f>
        <v>88153</v>
      </c>
      <c r="L25" s="25">
        <f>'Tabell 9'!C41</f>
        <v>86448</v>
      </c>
      <c r="M25" s="25">
        <f>'Tabell 9'!C45</f>
        <v>85892</v>
      </c>
      <c r="N25" s="25">
        <f>'Tabell 9'!C49</f>
        <v>111805</v>
      </c>
      <c r="O25" s="25">
        <f>'Tabell 9'!C53</f>
        <v>101438</v>
      </c>
      <c r="P25" s="25">
        <f>'Tabell 9'!C57</f>
        <v>106644</v>
      </c>
      <c r="Q25" s="25">
        <f>'Tabell 9'!C61</f>
        <v>102553</v>
      </c>
      <c r="R25" s="25">
        <f>'Tabell 9'!C65</f>
        <v>103850</v>
      </c>
    </row>
    <row r="30" spans="1:18" x14ac:dyDescent="0.2">
      <c r="F30" s="25"/>
    </row>
  </sheetData>
  <phoneticPr fontId="0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00"/>
  <sheetViews>
    <sheetView zoomScale="106" zoomScaleNormal="106" workbookViewId="0">
      <pane xSplit="1" topLeftCell="B1" activePane="topRight" state="frozen"/>
      <selection pane="topRight" activeCell="B28" sqref="B28"/>
    </sheetView>
  </sheetViews>
  <sheetFormatPr baseColWidth="10" defaultRowHeight="12.75" x14ac:dyDescent="0.2"/>
  <cols>
    <col min="1" max="1" width="18.85546875" customWidth="1"/>
    <col min="2" max="3" width="10.7109375" customWidth="1"/>
    <col min="4" max="4" width="12" customWidth="1"/>
    <col min="5" max="5" width="13.7109375" customWidth="1"/>
    <col min="6" max="6" width="14" hidden="1" customWidth="1"/>
    <col min="7" max="7" width="16.7109375" customWidth="1"/>
    <col min="8" max="8" width="15.42578125" customWidth="1"/>
    <col min="9" max="9" width="15.85546875" customWidth="1"/>
    <col min="10" max="10" width="9.7109375" customWidth="1"/>
    <col min="11" max="12" width="11.7109375" customWidth="1"/>
    <col min="13" max="13" width="12.5703125" customWidth="1"/>
    <col min="14" max="14" width="10.85546875" customWidth="1"/>
    <col min="15" max="15" width="11.28515625" style="25" customWidth="1"/>
    <col min="16" max="16" width="12.85546875" customWidth="1"/>
    <col min="17" max="17" width="15.42578125" customWidth="1"/>
    <col min="18" max="18" width="15.28515625" customWidth="1"/>
    <col min="19" max="19" width="15.28515625" style="53" customWidth="1"/>
    <col min="20" max="20" width="15.7109375" customWidth="1"/>
    <col min="21" max="21" width="15.28515625" customWidth="1"/>
    <col min="22" max="22" width="15.28515625" style="53" customWidth="1"/>
    <col min="23" max="23" width="19.140625" customWidth="1"/>
    <col min="24" max="24" width="15.7109375" style="53" customWidth="1"/>
    <col min="25" max="25" width="15.7109375" customWidth="1"/>
    <col min="26" max="26" width="15.5703125" style="53" customWidth="1"/>
    <col min="27" max="27" width="11.42578125" style="53"/>
  </cols>
  <sheetData>
    <row r="1" spans="1:33" x14ac:dyDescent="0.2">
      <c r="A1" s="14" t="s">
        <v>378</v>
      </c>
      <c r="B1" s="11"/>
      <c r="C1" s="14"/>
      <c r="D1" s="11"/>
      <c r="E1" s="11"/>
      <c r="F1" s="11"/>
      <c r="G1" s="11"/>
      <c r="H1" s="11"/>
      <c r="I1" s="11"/>
      <c r="J1" s="11"/>
      <c r="K1" s="88"/>
      <c r="L1" s="88"/>
      <c r="M1" s="88"/>
      <c r="N1" s="79"/>
      <c r="O1" s="154"/>
      <c r="P1" s="78"/>
      <c r="Q1" s="88"/>
      <c r="R1" s="84"/>
      <c r="S1" s="78"/>
      <c r="T1" s="88"/>
      <c r="U1" s="84"/>
      <c r="V1" s="78"/>
      <c r="W1" s="53"/>
      <c r="X1" s="84"/>
      <c r="Y1" s="84"/>
      <c r="Z1" s="78"/>
      <c r="AA1" s="156"/>
      <c r="AB1" s="88"/>
      <c r="AC1" s="88"/>
      <c r="AE1" s="94"/>
    </row>
    <row r="2" spans="1:33" x14ac:dyDescent="0.2">
      <c r="A2" s="1"/>
      <c r="B2" s="12"/>
      <c r="C2" s="1"/>
      <c r="D2" s="12"/>
      <c r="E2" s="12"/>
      <c r="F2" s="1"/>
      <c r="G2" s="12"/>
      <c r="H2" s="12"/>
      <c r="I2" s="11"/>
      <c r="J2" s="11"/>
      <c r="K2" s="79"/>
      <c r="L2" s="79"/>
      <c r="M2" s="79"/>
      <c r="N2" s="79"/>
      <c r="O2" s="155" t="s">
        <v>10</v>
      </c>
      <c r="P2" s="80" t="s">
        <v>239</v>
      </c>
      <c r="Q2" s="80"/>
      <c r="R2" s="78"/>
      <c r="S2" s="78"/>
      <c r="T2" s="80"/>
      <c r="U2" s="78"/>
      <c r="V2" s="78"/>
      <c r="W2" s="54"/>
      <c r="X2" s="78"/>
      <c r="Y2" s="78"/>
      <c r="Z2" s="78"/>
      <c r="AA2" s="156" t="s">
        <v>10</v>
      </c>
      <c r="AB2" s="79" t="s">
        <v>30</v>
      </c>
      <c r="AC2" s="79" t="s">
        <v>30</v>
      </c>
      <c r="AD2" s="157" t="s">
        <v>300</v>
      </c>
      <c r="AE2" s="79" t="s">
        <v>10</v>
      </c>
      <c r="AF2" s="79" t="s">
        <v>10</v>
      </c>
      <c r="AG2" s="79" t="s">
        <v>10</v>
      </c>
    </row>
    <row r="3" spans="1:33" ht="14.25" x14ac:dyDescent="0.2">
      <c r="A3" s="17"/>
      <c r="B3" s="8" t="s">
        <v>143</v>
      </c>
      <c r="C3" s="7" t="s">
        <v>143</v>
      </c>
      <c r="D3" s="10" t="s">
        <v>112</v>
      </c>
      <c r="E3" s="10" t="s">
        <v>113</v>
      </c>
      <c r="F3" s="10" t="s">
        <v>113</v>
      </c>
      <c r="G3" s="10" t="s">
        <v>113</v>
      </c>
      <c r="H3" s="7" t="s">
        <v>246</v>
      </c>
      <c r="I3" s="7" t="s">
        <v>246</v>
      </c>
      <c r="J3" s="11"/>
      <c r="K3" s="79"/>
      <c r="L3" s="79" t="s">
        <v>22</v>
      </c>
      <c r="M3" s="79"/>
      <c r="N3" s="94"/>
      <c r="O3" s="155" t="s">
        <v>24</v>
      </c>
      <c r="P3" s="79" t="s">
        <v>240</v>
      </c>
      <c r="Q3" s="94"/>
      <c r="R3" s="80" t="s">
        <v>4</v>
      </c>
      <c r="S3" s="79" t="s">
        <v>4</v>
      </c>
      <c r="T3" s="80"/>
      <c r="U3" s="80" t="s">
        <v>4</v>
      </c>
      <c r="V3" s="79" t="s">
        <v>4</v>
      </c>
      <c r="W3" s="54" t="s">
        <v>4</v>
      </c>
      <c r="X3" s="78"/>
      <c r="Y3" s="78"/>
      <c r="Z3" s="78"/>
      <c r="AA3" s="156" t="s">
        <v>20</v>
      </c>
      <c r="AB3" s="79" t="s">
        <v>167</v>
      </c>
      <c r="AC3" s="79" t="s">
        <v>167</v>
      </c>
      <c r="AD3" s="157" t="s">
        <v>293</v>
      </c>
      <c r="AE3" s="79" t="s">
        <v>20</v>
      </c>
      <c r="AF3" s="79" t="s">
        <v>20</v>
      </c>
      <c r="AG3" s="79" t="s">
        <v>20</v>
      </c>
    </row>
    <row r="4" spans="1:33" x14ac:dyDescent="0.2">
      <c r="A4" s="2"/>
      <c r="B4" s="5" t="s">
        <v>12</v>
      </c>
      <c r="C4" s="8" t="s">
        <v>11</v>
      </c>
      <c r="D4" s="8" t="s">
        <v>23</v>
      </c>
      <c r="E4" s="8" t="s">
        <v>114</v>
      </c>
      <c r="F4" s="8" t="s">
        <v>114</v>
      </c>
      <c r="G4" s="8" t="s">
        <v>115</v>
      </c>
      <c r="H4" s="8" t="s">
        <v>26</v>
      </c>
      <c r="I4" s="8" t="s">
        <v>117</v>
      </c>
      <c r="J4" s="11"/>
      <c r="K4" s="79" t="s">
        <v>22</v>
      </c>
      <c r="L4" s="79" t="s">
        <v>232</v>
      </c>
      <c r="M4" s="79"/>
      <c r="N4" s="79" t="s">
        <v>13</v>
      </c>
      <c r="O4" s="155" t="s">
        <v>23</v>
      </c>
      <c r="P4" s="80" t="s">
        <v>241</v>
      </c>
      <c r="Q4" s="80" t="s">
        <v>4</v>
      </c>
      <c r="R4" s="80" t="s">
        <v>14</v>
      </c>
      <c r="S4" s="79" t="s">
        <v>14</v>
      </c>
      <c r="T4" s="80" t="s">
        <v>4</v>
      </c>
      <c r="U4" s="80" t="s">
        <v>14</v>
      </c>
      <c r="V4" s="79" t="s">
        <v>14</v>
      </c>
      <c r="W4" s="54" t="s">
        <v>15</v>
      </c>
      <c r="X4" s="79" t="s">
        <v>16</v>
      </c>
      <c r="Y4" s="79" t="s">
        <v>4</v>
      </c>
      <c r="Z4" s="78"/>
      <c r="AA4" s="156" t="s">
        <v>26</v>
      </c>
      <c r="AB4" s="158" t="s">
        <v>301</v>
      </c>
      <c r="AC4" s="158" t="s">
        <v>292</v>
      </c>
      <c r="AD4" s="157" t="s">
        <v>302</v>
      </c>
      <c r="AE4" s="158" t="s">
        <v>303</v>
      </c>
      <c r="AF4" s="79" t="s">
        <v>117</v>
      </c>
      <c r="AG4" s="158" t="s">
        <v>289</v>
      </c>
    </row>
    <row r="5" spans="1:33" x14ac:dyDescent="0.2">
      <c r="A5" s="2"/>
      <c r="B5" s="13" t="s">
        <v>51</v>
      </c>
      <c r="C5" s="8" t="s">
        <v>32</v>
      </c>
      <c r="D5" s="8" t="s">
        <v>228</v>
      </c>
      <c r="E5" s="8" t="s">
        <v>321</v>
      </c>
      <c r="F5" s="8" t="s">
        <v>170</v>
      </c>
      <c r="G5" s="8" t="s">
        <v>7</v>
      </c>
      <c r="H5" s="8" t="s">
        <v>116</v>
      </c>
      <c r="I5" s="8" t="s">
        <v>118</v>
      </c>
      <c r="J5" s="11"/>
      <c r="K5" s="79" t="s">
        <v>51</v>
      </c>
      <c r="L5" s="79" t="s">
        <v>51</v>
      </c>
      <c r="M5" s="79" t="s">
        <v>10</v>
      </c>
      <c r="N5" s="79" t="s">
        <v>32</v>
      </c>
      <c r="O5" s="155" t="s">
        <v>228</v>
      </c>
      <c r="P5" s="80" t="s">
        <v>228</v>
      </c>
      <c r="Q5" s="80" t="s">
        <v>231</v>
      </c>
      <c r="R5" s="80" t="s">
        <v>233</v>
      </c>
      <c r="S5" s="80" t="s">
        <v>320</v>
      </c>
      <c r="T5" s="80" t="s">
        <v>231</v>
      </c>
      <c r="U5" s="80" t="s">
        <v>233</v>
      </c>
      <c r="V5" s="80" t="s">
        <v>320</v>
      </c>
      <c r="W5" s="80" t="s">
        <v>8</v>
      </c>
      <c r="X5" s="79" t="s">
        <v>17</v>
      </c>
      <c r="Y5" s="79" t="s">
        <v>7</v>
      </c>
      <c r="Z5" s="79" t="s">
        <v>176</v>
      </c>
      <c r="AA5" s="156" t="s">
        <v>27</v>
      </c>
      <c r="AB5" s="158" t="s">
        <v>290</v>
      </c>
      <c r="AC5" s="158" t="s">
        <v>293</v>
      </c>
      <c r="AD5" s="80" t="s">
        <v>224</v>
      </c>
      <c r="AE5" s="158" t="s">
        <v>294</v>
      </c>
      <c r="AF5" s="79" t="s">
        <v>118</v>
      </c>
      <c r="AG5" s="158" t="s">
        <v>294</v>
      </c>
    </row>
    <row r="6" spans="1:33" ht="14.25" x14ac:dyDescent="0.2">
      <c r="A6" s="4"/>
      <c r="B6" s="9" t="s">
        <v>312</v>
      </c>
      <c r="C6" s="9" t="s">
        <v>12</v>
      </c>
      <c r="D6" s="9" t="s">
        <v>229</v>
      </c>
      <c r="E6" s="9" t="s">
        <v>313</v>
      </c>
      <c r="F6" s="9" t="s">
        <v>171</v>
      </c>
      <c r="G6" s="9" t="s">
        <v>29</v>
      </c>
      <c r="H6" s="9" t="s">
        <v>19</v>
      </c>
      <c r="I6" s="8" t="s">
        <v>19</v>
      </c>
      <c r="J6" s="11"/>
      <c r="K6" s="81" t="s">
        <v>312</v>
      </c>
      <c r="L6" s="81" t="s">
        <v>319</v>
      </c>
      <c r="M6" s="81" t="s">
        <v>229</v>
      </c>
      <c r="N6" s="81" t="s">
        <v>12</v>
      </c>
      <c r="O6" s="155" t="s">
        <v>229</v>
      </c>
      <c r="P6" s="81" t="s">
        <v>229</v>
      </c>
      <c r="Q6" s="81" t="s">
        <v>230</v>
      </c>
      <c r="R6" s="81" t="s">
        <v>312</v>
      </c>
      <c r="S6" s="81" t="s">
        <v>316</v>
      </c>
      <c r="T6" s="81" t="s">
        <v>230</v>
      </c>
      <c r="U6" s="81" t="s">
        <v>312</v>
      </c>
      <c r="V6" s="81" t="s">
        <v>316</v>
      </c>
      <c r="W6" s="81" t="s">
        <v>6</v>
      </c>
      <c r="X6" s="81" t="s">
        <v>5</v>
      </c>
      <c r="Y6" s="81" t="s">
        <v>5</v>
      </c>
      <c r="Z6" s="81" t="s">
        <v>177</v>
      </c>
      <c r="AA6" s="156" t="s">
        <v>21</v>
      </c>
      <c r="AB6" s="159"/>
      <c r="AC6" s="81"/>
      <c r="AD6" s="80" t="s">
        <v>25</v>
      </c>
      <c r="AE6" s="79" t="s">
        <v>19</v>
      </c>
      <c r="AF6" s="79" t="s">
        <v>19</v>
      </c>
      <c r="AG6" s="79" t="s">
        <v>19</v>
      </c>
    </row>
    <row r="7" spans="1:33" x14ac:dyDescent="0.2">
      <c r="A7" s="2" t="s">
        <v>0</v>
      </c>
      <c r="B7" s="93">
        <f t="shared" ref="B7:B17" si="0">K7/L7*100</f>
        <v>0</v>
      </c>
      <c r="C7" s="131">
        <f>N7/M7*100</f>
        <v>29.487179487179489</v>
      </c>
      <c r="D7" s="48">
        <f>O7/P7*100</f>
        <v>4.4417706599394133</v>
      </c>
      <c r="E7" s="48">
        <f>U7/X7*100</f>
        <v>5.8959635658212432E-2</v>
      </c>
      <c r="F7" s="49">
        <f>W7/X7*100</f>
        <v>0</v>
      </c>
      <c r="G7" s="49">
        <f>Y7/Z7*100</f>
        <v>0.12050615457535585</v>
      </c>
      <c r="H7" s="172">
        <f>AA7/V7*100</f>
        <v>2.5955182048660395</v>
      </c>
      <c r="I7" s="93">
        <f>AF7/V7*100</f>
        <v>1.5477623380227814</v>
      </c>
      <c r="J7" s="15"/>
      <c r="K7" s="46">
        <v>0</v>
      </c>
      <c r="L7" s="56">
        <f t="shared" ref="L7:L17" si="1">K7+M7</f>
        <v>546</v>
      </c>
      <c r="M7" s="171">
        <v>546</v>
      </c>
      <c r="N7" s="171">
        <v>161</v>
      </c>
      <c r="O7" s="171">
        <v>34369</v>
      </c>
      <c r="P7" s="128">
        <f>Q7+O7</f>
        <v>773768</v>
      </c>
      <c r="Q7" s="171">
        <v>739399</v>
      </c>
      <c r="R7" s="148">
        <v>0</v>
      </c>
      <c r="S7" s="82">
        <f>Q7+R7</f>
        <v>739399</v>
      </c>
      <c r="T7" s="152">
        <v>694981</v>
      </c>
      <c r="U7" s="148">
        <v>410</v>
      </c>
      <c r="V7" s="82">
        <f>T7+U7</f>
        <v>695391</v>
      </c>
      <c r="W7" s="152"/>
      <c r="X7" s="82">
        <f>V7+W7</f>
        <v>695391</v>
      </c>
      <c r="Y7" s="148">
        <v>839</v>
      </c>
      <c r="Z7" s="38">
        <f>X7+Y7</f>
        <v>696230</v>
      </c>
      <c r="AA7" s="86">
        <f>AB7+AC7+AD7</f>
        <v>18049</v>
      </c>
      <c r="AB7" s="148">
        <v>12229</v>
      </c>
      <c r="AC7" s="150">
        <v>940</v>
      </c>
      <c r="AD7" s="160">
        <v>4880</v>
      </c>
      <c r="AE7" s="161">
        <f>AF7+AG7</f>
        <v>15232</v>
      </c>
      <c r="AF7" s="162">
        <v>10763</v>
      </c>
      <c r="AG7" s="163">
        <v>4469</v>
      </c>
    </row>
    <row r="8" spans="1:33" x14ac:dyDescent="0.2">
      <c r="A8" s="2" t="s">
        <v>1</v>
      </c>
      <c r="B8" s="49">
        <f t="shared" si="0"/>
        <v>0.94562647754137119</v>
      </c>
      <c r="C8" s="48">
        <f t="shared" ref="C8:C17" si="2">N8/M8*100</f>
        <v>23.627684964200476</v>
      </c>
      <c r="D8" s="48">
        <f t="shared" ref="D8:D17" si="3">O8/P8*100</f>
        <v>1.9000313113774159</v>
      </c>
      <c r="E8" s="48">
        <f>U8/X8*100</f>
        <v>0.59145432577528467</v>
      </c>
      <c r="F8" s="49">
        <f>W8/X8*100</f>
        <v>0</v>
      </c>
      <c r="G8" s="49">
        <f>Y8/Z8*100</f>
        <v>7.1985577990253943E-2</v>
      </c>
      <c r="H8" s="172">
        <f>AA8/V8*100</f>
        <v>1.9227974606285319</v>
      </c>
      <c r="I8" s="49">
        <f t="shared" ref="I8:I19" si="4">AF8/V8*100</f>
        <v>1.4249710397057052</v>
      </c>
      <c r="J8" s="15"/>
      <c r="K8" s="46">
        <v>4</v>
      </c>
      <c r="L8" s="56">
        <f t="shared" si="1"/>
        <v>423</v>
      </c>
      <c r="M8" s="171">
        <v>419</v>
      </c>
      <c r="N8" s="171">
        <v>99</v>
      </c>
      <c r="O8" s="171">
        <v>9345</v>
      </c>
      <c r="P8" s="128">
        <f t="shared" ref="P8:P18" si="5">Q8+O8</f>
        <v>491834</v>
      </c>
      <c r="Q8" s="171">
        <v>482489</v>
      </c>
      <c r="R8" s="148">
        <v>2782</v>
      </c>
      <c r="S8" s="82">
        <f t="shared" ref="S8:S18" si="6">Q8+R8</f>
        <v>485271</v>
      </c>
      <c r="T8" s="152">
        <v>478845</v>
      </c>
      <c r="U8" s="148">
        <v>2849</v>
      </c>
      <c r="V8" s="82">
        <f t="shared" ref="V8:V18" si="7">T8+U8</f>
        <v>481694</v>
      </c>
      <c r="W8" s="152"/>
      <c r="X8" s="82">
        <f t="shared" ref="X8:X18" si="8">V8+W8</f>
        <v>481694</v>
      </c>
      <c r="Y8" s="148">
        <v>347</v>
      </c>
      <c r="Z8" s="38">
        <f t="shared" ref="Z8:Z18" si="9">X8+Y8</f>
        <v>482041</v>
      </c>
      <c r="AA8" s="87">
        <f t="shared" ref="AA8:AA18" si="10">AB8+AC8+AD8</f>
        <v>9262</v>
      </c>
      <c r="AB8" s="148">
        <v>6020</v>
      </c>
      <c r="AC8" s="150">
        <v>550</v>
      </c>
      <c r="AD8" s="164">
        <v>2692</v>
      </c>
      <c r="AE8" s="165">
        <f t="shared" ref="AE8:AE18" si="11">AF8+AG8</f>
        <v>9152</v>
      </c>
      <c r="AF8" s="152">
        <v>6864</v>
      </c>
      <c r="AG8" s="166">
        <v>2288</v>
      </c>
    </row>
    <row r="9" spans="1:33" x14ac:dyDescent="0.2">
      <c r="A9" s="2" t="s">
        <v>2</v>
      </c>
      <c r="B9" s="49">
        <f t="shared" si="0"/>
        <v>7.1428571428571423</v>
      </c>
      <c r="C9" s="48">
        <f t="shared" si="2"/>
        <v>26.153846153846157</v>
      </c>
      <c r="D9" s="48">
        <f t="shared" si="3"/>
        <v>3.7289024653645595</v>
      </c>
      <c r="E9" s="48">
        <f>U9/X9*100</f>
        <v>5.2658407560819969</v>
      </c>
      <c r="F9" s="49">
        <f>W9/X9*100</f>
        <v>0</v>
      </c>
      <c r="G9" s="49">
        <f>Y9/Z9*100</f>
        <v>0.11691539474031581</v>
      </c>
      <c r="H9" s="172">
        <f>AA9/V9*100</f>
        <v>1.9302293091274323</v>
      </c>
      <c r="I9" s="49">
        <f t="shared" si="4"/>
        <v>3.3888513398706381</v>
      </c>
      <c r="J9" s="15"/>
      <c r="K9" s="46">
        <v>20</v>
      </c>
      <c r="L9" s="56">
        <f t="shared" si="1"/>
        <v>280</v>
      </c>
      <c r="M9" s="171">
        <v>260</v>
      </c>
      <c r="N9" s="171">
        <v>68</v>
      </c>
      <c r="O9" s="171">
        <v>9668</v>
      </c>
      <c r="P9" s="128">
        <f t="shared" si="5"/>
        <v>259272</v>
      </c>
      <c r="Q9" s="171">
        <v>249604</v>
      </c>
      <c r="R9" s="148">
        <v>14650</v>
      </c>
      <c r="S9" s="82">
        <f t="shared" si="6"/>
        <v>264254</v>
      </c>
      <c r="T9" s="152">
        <v>250893</v>
      </c>
      <c r="U9" s="148">
        <v>13946</v>
      </c>
      <c r="V9" s="82">
        <f t="shared" si="7"/>
        <v>264839</v>
      </c>
      <c r="W9" s="152"/>
      <c r="X9" s="82">
        <f t="shared" si="8"/>
        <v>264839</v>
      </c>
      <c r="Y9" s="148">
        <v>310</v>
      </c>
      <c r="Z9" s="38">
        <f t="shared" si="9"/>
        <v>265149</v>
      </c>
      <c r="AA9" s="87">
        <f t="shared" si="10"/>
        <v>5112</v>
      </c>
      <c r="AB9" s="148">
        <v>3599</v>
      </c>
      <c r="AC9" s="150">
        <v>373</v>
      </c>
      <c r="AD9" s="164">
        <v>1140</v>
      </c>
      <c r="AE9" s="165">
        <f t="shared" si="11"/>
        <v>10049</v>
      </c>
      <c r="AF9" s="152">
        <v>8975</v>
      </c>
      <c r="AG9" s="166">
        <v>1074</v>
      </c>
    </row>
    <row r="10" spans="1:33" x14ac:dyDescent="0.2">
      <c r="A10" s="2" t="s">
        <v>3</v>
      </c>
      <c r="B10" s="49">
        <f t="shared" si="0"/>
        <v>9.3023255813953494</v>
      </c>
      <c r="C10" s="48">
        <f t="shared" si="2"/>
        <v>30.76923076923077</v>
      </c>
      <c r="D10" s="48">
        <f>O10/P10*100</f>
        <v>4.4719627379645877</v>
      </c>
      <c r="E10" s="48">
        <f>U10/X10*100</f>
        <v>7.2263784288704853</v>
      </c>
      <c r="F10" s="49">
        <f>W10/X10*100</f>
        <v>0</v>
      </c>
      <c r="G10" s="49">
        <f>Y10/Z10*100</f>
        <v>0.132017874470575</v>
      </c>
      <c r="H10" s="172">
        <f>AA10/V10*100</f>
        <v>1.8544465850993737</v>
      </c>
      <c r="I10" s="49">
        <f t="shared" si="4"/>
        <v>2.9516017381005994</v>
      </c>
      <c r="J10" s="15"/>
      <c r="K10" s="46">
        <v>28</v>
      </c>
      <c r="L10" s="56">
        <f t="shared" si="1"/>
        <v>301</v>
      </c>
      <c r="M10" s="171">
        <v>273</v>
      </c>
      <c r="N10" s="171">
        <v>84</v>
      </c>
      <c r="O10" s="171">
        <v>10350</v>
      </c>
      <c r="P10" s="128">
        <f t="shared" si="5"/>
        <v>231442</v>
      </c>
      <c r="Q10" s="171">
        <v>221092</v>
      </c>
      <c r="R10" s="148">
        <v>17813</v>
      </c>
      <c r="S10" s="82">
        <f t="shared" si="6"/>
        <v>238905</v>
      </c>
      <c r="T10" s="152">
        <v>222473</v>
      </c>
      <c r="U10" s="148">
        <v>17329</v>
      </c>
      <c r="V10" s="82">
        <f t="shared" si="7"/>
        <v>239802</v>
      </c>
      <c r="W10" s="152"/>
      <c r="X10" s="82">
        <f t="shared" si="8"/>
        <v>239802</v>
      </c>
      <c r="Y10" s="148">
        <v>317</v>
      </c>
      <c r="Z10" s="38">
        <f t="shared" si="9"/>
        <v>240119</v>
      </c>
      <c r="AA10" s="87">
        <f t="shared" si="10"/>
        <v>4447</v>
      </c>
      <c r="AB10" s="148">
        <v>3020</v>
      </c>
      <c r="AC10" s="150">
        <v>380</v>
      </c>
      <c r="AD10" s="164">
        <v>1047</v>
      </c>
      <c r="AE10" s="165">
        <f t="shared" si="11"/>
        <v>8032</v>
      </c>
      <c r="AF10" s="152">
        <v>7078</v>
      </c>
      <c r="AG10" s="166">
        <v>954</v>
      </c>
    </row>
    <row r="11" spans="1:33" x14ac:dyDescent="0.2">
      <c r="A11" s="2" t="s">
        <v>364</v>
      </c>
      <c r="B11" s="49">
        <f t="shared" si="0"/>
        <v>1.2149532710280373</v>
      </c>
      <c r="C11" s="48">
        <f t="shared" si="2"/>
        <v>27.341532639545886</v>
      </c>
      <c r="D11" s="48">
        <f t="shared" si="3"/>
        <v>3.9051350105688081</v>
      </c>
      <c r="E11" s="48">
        <f t="shared" ref="E11:E17" si="12">U11/X11*100</f>
        <v>0.40308450052885836</v>
      </c>
      <c r="F11" s="49">
        <f t="shared" ref="F11:F17" si="13">W11/X11*100</f>
        <v>0</v>
      </c>
      <c r="G11" s="49">
        <f t="shared" ref="G11:G17" si="14">Y11/Z11*100</f>
        <v>7.7388613960330338E-2</v>
      </c>
      <c r="H11" s="172">
        <f t="shared" ref="H11:H17" si="15">AA11/V11*100</f>
        <v>2.0021410363704155</v>
      </c>
      <c r="I11" s="49">
        <f t="shared" si="4"/>
        <v>1.1316449336006695</v>
      </c>
      <c r="J11" s="15"/>
      <c r="K11" s="46">
        <v>13</v>
      </c>
      <c r="L11" s="56">
        <f t="shared" si="1"/>
        <v>1070</v>
      </c>
      <c r="M11" s="171">
        <v>1057</v>
      </c>
      <c r="N11" s="171">
        <v>289</v>
      </c>
      <c r="O11" s="171">
        <v>49143</v>
      </c>
      <c r="P11" s="128">
        <f t="shared" si="5"/>
        <v>1258420</v>
      </c>
      <c r="Q11" s="171">
        <v>1209277</v>
      </c>
      <c r="R11" s="148">
        <v>5340</v>
      </c>
      <c r="S11" s="82">
        <f t="shared" si="6"/>
        <v>1214617</v>
      </c>
      <c r="T11" s="152">
        <v>1244824</v>
      </c>
      <c r="U11" s="148">
        <v>5038</v>
      </c>
      <c r="V11" s="82">
        <f t="shared" si="7"/>
        <v>1249862</v>
      </c>
      <c r="W11" s="152"/>
      <c r="X11" s="82">
        <f t="shared" si="8"/>
        <v>1249862</v>
      </c>
      <c r="Y11" s="148">
        <v>968</v>
      </c>
      <c r="Z11" s="38">
        <f t="shared" si="9"/>
        <v>1250830</v>
      </c>
      <c r="AA11" s="87">
        <f t="shared" si="10"/>
        <v>25024</v>
      </c>
      <c r="AB11" s="148">
        <v>16334</v>
      </c>
      <c r="AC11" s="150">
        <v>1481</v>
      </c>
      <c r="AD11" s="164">
        <v>7209</v>
      </c>
      <c r="AE11" s="165">
        <f t="shared" si="11"/>
        <v>18946</v>
      </c>
      <c r="AF11" s="152">
        <v>14144</v>
      </c>
      <c r="AG11" s="166">
        <v>4802</v>
      </c>
    </row>
    <row r="12" spans="1:33" x14ac:dyDescent="0.2">
      <c r="A12" s="2" t="s">
        <v>365</v>
      </c>
      <c r="B12" s="49">
        <f t="shared" si="0"/>
        <v>8.0519480519480524</v>
      </c>
      <c r="C12" s="48">
        <f t="shared" si="2"/>
        <v>28.531073446327682</v>
      </c>
      <c r="D12" s="48">
        <f t="shared" si="3"/>
        <v>3.6241506331012792</v>
      </c>
      <c r="E12" s="48">
        <f t="shared" si="12"/>
        <v>5.2312854301679002</v>
      </c>
      <c r="F12" s="49">
        <f t="shared" si="13"/>
        <v>0</v>
      </c>
      <c r="G12" s="49">
        <f t="shared" si="14"/>
        <v>0.21007552458126655</v>
      </c>
      <c r="H12" s="172">
        <f t="shared" si="15"/>
        <v>1.8521775601044472</v>
      </c>
      <c r="I12" s="49">
        <f t="shared" si="4"/>
        <v>2.101660059800035</v>
      </c>
      <c r="J12" s="15"/>
      <c r="K12" s="46">
        <v>31</v>
      </c>
      <c r="L12" s="56">
        <f t="shared" si="1"/>
        <v>385</v>
      </c>
      <c r="M12" s="171">
        <v>354</v>
      </c>
      <c r="N12" s="171">
        <v>101</v>
      </c>
      <c r="O12" s="171">
        <v>13046</v>
      </c>
      <c r="P12" s="128">
        <f t="shared" si="5"/>
        <v>359974</v>
      </c>
      <c r="Q12" s="171">
        <v>346928</v>
      </c>
      <c r="R12" s="148">
        <v>20744</v>
      </c>
      <c r="S12" s="82">
        <f t="shared" si="6"/>
        <v>367672</v>
      </c>
      <c r="T12" s="152">
        <v>350232</v>
      </c>
      <c r="U12" s="148">
        <v>19333</v>
      </c>
      <c r="V12" s="82">
        <f t="shared" si="7"/>
        <v>369565</v>
      </c>
      <c r="W12" s="152"/>
      <c r="X12" s="82">
        <f t="shared" si="8"/>
        <v>369565</v>
      </c>
      <c r="Y12" s="148">
        <v>778</v>
      </c>
      <c r="Z12" s="38">
        <f t="shared" si="9"/>
        <v>370343</v>
      </c>
      <c r="AA12" s="87">
        <f t="shared" si="10"/>
        <v>6845</v>
      </c>
      <c r="AB12" s="148">
        <v>4793</v>
      </c>
      <c r="AC12" s="150">
        <v>542</v>
      </c>
      <c r="AD12" s="164">
        <v>1510</v>
      </c>
      <c r="AE12" s="165">
        <f t="shared" si="11"/>
        <v>9020</v>
      </c>
      <c r="AF12" s="152">
        <v>7767</v>
      </c>
      <c r="AG12" s="166">
        <v>1253</v>
      </c>
    </row>
    <row r="13" spans="1:33" x14ac:dyDescent="0.2">
      <c r="A13" s="2" t="s">
        <v>363</v>
      </c>
      <c r="B13" s="49">
        <f t="shared" si="0"/>
        <v>1.5306122448979591</v>
      </c>
      <c r="C13" s="48">
        <f t="shared" si="2"/>
        <v>20.207253886010363</v>
      </c>
      <c r="D13" s="48">
        <f t="shared" si="3"/>
        <v>2.2031539888682743</v>
      </c>
      <c r="E13" s="48">
        <f t="shared" si="12"/>
        <v>1.1452937070574214</v>
      </c>
      <c r="F13" s="49">
        <f t="shared" si="13"/>
        <v>0</v>
      </c>
      <c r="G13" s="49">
        <f t="shared" si="14"/>
        <v>5.5287292227745678E-2</v>
      </c>
      <c r="H13" s="172">
        <f t="shared" si="15"/>
        <v>1.5885489622556399</v>
      </c>
      <c r="I13" s="49">
        <f t="shared" si="4"/>
        <v>1.6424423435786155</v>
      </c>
      <c r="J13" s="15"/>
      <c r="K13" s="46">
        <v>6</v>
      </c>
      <c r="L13" s="56">
        <f t="shared" si="1"/>
        <v>392</v>
      </c>
      <c r="M13" s="171">
        <v>386</v>
      </c>
      <c r="N13" s="171">
        <v>78</v>
      </c>
      <c r="O13" s="171">
        <v>9310</v>
      </c>
      <c r="P13" s="128">
        <f t="shared" si="5"/>
        <v>422576</v>
      </c>
      <c r="Q13" s="171">
        <v>413266</v>
      </c>
      <c r="R13" s="148">
        <v>4863</v>
      </c>
      <c r="S13" s="82">
        <f t="shared" si="6"/>
        <v>418129</v>
      </c>
      <c r="T13" s="152">
        <v>416378</v>
      </c>
      <c r="U13" s="148">
        <v>4824</v>
      </c>
      <c r="V13" s="82">
        <f t="shared" si="7"/>
        <v>421202</v>
      </c>
      <c r="W13" s="152"/>
      <c r="X13" s="82">
        <f t="shared" si="8"/>
        <v>421202</v>
      </c>
      <c r="Y13" s="148">
        <v>233</v>
      </c>
      <c r="Z13" s="38">
        <f t="shared" si="9"/>
        <v>421435</v>
      </c>
      <c r="AA13" s="87">
        <f t="shared" si="10"/>
        <v>6691</v>
      </c>
      <c r="AB13" s="148">
        <v>4157</v>
      </c>
      <c r="AC13" s="150">
        <v>487</v>
      </c>
      <c r="AD13" s="164">
        <v>2047</v>
      </c>
      <c r="AE13" s="165">
        <f t="shared" si="11"/>
        <v>8510</v>
      </c>
      <c r="AF13" s="152">
        <v>6918</v>
      </c>
      <c r="AG13" s="166">
        <v>1592</v>
      </c>
    </row>
    <row r="14" spans="1:33" x14ac:dyDescent="0.2">
      <c r="A14" s="2" t="s">
        <v>366</v>
      </c>
      <c r="B14" s="49">
        <f t="shared" si="0"/>
        <v>1.6611295681063125</v>
      </c>
      <c r="C14" s="48">
        <f t="shared" si="2"/>
        <v>20.27027027027027</v>
      </c>
      <c r="D14" s="48">
        <f t="shared" si="3"/>
        <v>1.6202744671079465</v>
      </c>
      <c r="E14" s="48">
        <f t="shared" si="12"/>
        <v>0.83635585027348647</v>
      </c>
      <c r="F14" s="49">
        <f t="shared" si="13"/>
        <v>0</v>
      </c>
      <c r="G14" s="49">
        <f t="shared" si="14"/>
        <v>6.1925928807877235E-2</v>
      </c>
      <c r="H14" s="172">
        <f t="shared" si="15"/>
        <v>1.8180520500126525</v>
      </c>
      <c r="I14" s="49">
        <f t="shared" si="4"/>
        <v>1.1169795160944973</v>
      </c>
      <c r="J14" s="15"/>
      <c r="K14" s="46">
        <v>5</v>
      </c>
      <c r="L14" s="56">
        <f t="shared" si="1"/>
        <v>301</v>
      </c>
      <c r="M14" s="171">
        <v>296</v>
      </c>
      <c r="N14" s="171">
        <v>60</v>
      </c>
      <c r="O14" s="171">
        <v>5045</v>
      </c>
      <c r="P14" s="128">
        <f t="shared" si="5"/>
        <v>311367</v>
      </c>
      <c r="Q14" s="171">
        <v>306322</v>
      </c>
      <c r="R14" s="148">
        <v>2570</v>
      </c>
      <c r="S14" s="82">
        <f t="shared" si="6"/>
        <v>308892</v>
      </c>
      <c r="T14" s="152">
        <v>305664</v>
      </c>
      <c r="U14" s="148">
        <v>2578</v>
      </c>
      <c r="V14" s="82">
        <f t="shared" si="7"/>
        <v>308242</v>
      </c>
      <c r="W14" s="152"/>
      <c r="X14" s="82">
        <f t="shared" si="8"/>
        <v>308242</v>
      </c>
      <c r="Y14" s="148">
        <v>191</v>
      </c>
      <c r="Z14" s="38">
        <f t="shared" si="9"/>
        <v>308433</v>
      </c>
      <c r="AA14" s="87">
        <f t="shared" si="10"/>
        <v>5604</v>
      </c>
      <c r="AB14" s="148">
        <v>3647</v>
      </c>
      <c r="AC14" s="150">
        <v>521</v>
      </c>
      <c r="AD14" s="164">
        <v>1436</v>
      </c>
      <c r="AE14" s="165">
        <f t="shared" si="11"/>
        <v>4578</v>
      </c>
      <c r="AF14" s="152">
        <v>3443</v>
      </c>
      <c r="AG14" s="166">
        <v>1135</v>
      </c>
    </row>
    <row r="15" spans="1:33" x14ac:dyDescent="0.2">
      <c r="A15" s="3" t="s">
        <v>367</v>
      </c>
      <c r="B15" s="49">
        <f t="shared" si="0"/>
        <v>4.1795665634674917</v>
      </c>
      <c r="C15" s="48">
        <f t="shared" si="2"/>
        <v>21.486268174474958</v>
      </c>
      <c r="D15" s="48">
        <f t="shared" si="3"/>
        <v>2.1995483947429157</v>
      </c>
      <c r="E15" s="48">
        <f t="shared" si="12"/>
        <v>1.753005691026269</v>
      </c>
      <c r="F15" s="49">
        <f t="shared" si="13"/>
        <v>0</v>
      </c>
      <c r="G15" s="49">
        <f t="shared" si="14"/>
        <v>0.13847179205708238</v>
      </c>
      <c r="H15" s="172">
        <f t="shared" si="15"/>
        <v>1.4442706566665411</v>
      </c>
      <c r="I15" s="49">
        <f t="shared" si="4"/>
        <v>2.0047362404050304</v>
      </c>
      <c r="J15" s="15"/>
      <c r="K15" s="46">
        <v>27</v>
      </c>
      <c r="L15" s="56">
        <f t="shared" si="1"/>
        <v>646</v>
      </c>
      <c r="M15" s="171">
        <v>619</v>
      </c>
      <c r="N15" s="171">
        <v>133</v>
      </c>
      <c r="O15" s="171">
        <v>14105</v>
      </c>
      <c r="P15" s="128">
        <f t="shared" si="5"/>
        <v>641268</v>
      </c>
      <c r="Q15" s="171">
        <v>627163</v>
      </c>
      <c r="R15" s="148">
        <v>11276</v>
      </c>
      <c r="S15" s="82">
        <f t="shared" si="6"/>
        <v>638439</v>
      </c>
      <c r="T15" s="152">
        <v>625629</v>
      </c>
      <c r="U15" s="148">
        <v>11163</v>
      </c>
      <c r="V15" s="82">
        <f t="shared" si="7"/>
        <v>636792</v>
      </c>
      <c r="W15" s="152"/>
      <c r="X15" s="82">
        <f t="shared" si="8"/>
        <v>636792</v>
      </c>
      <c r="Y15" s="148">
        <v>883</v>
      </c>
      <c r="Z15" s="38">
        <f t="shared" si="9"/>
        <v>637675</v>
      </c>
      <c r="AA15" s="87">
        <f t="shared" si="10"/>
        <v>9197</v>
      </c>
      <c r="AB15" s="148">
        <v>5620</v>
      </c>
      <c r="AC15" s="150">
        <v>556</v>
      </c>
      <c r="AD15" s="164">
        <v>3021</v>
      </c>
      <c r="AE15" s="165">
        <f t="shared" si="11"/>
        <v>15552</v>
      </c>
      <c r="AF15" s="152">
        <v>12766</v>
      </c>
      <c r="AG15" s="166">
        <v>2786</v>
      </c>
    </row>
    <row r="16" spans="1:33" x14ac:dyDescent="0.2">
      <c r="A16" s="2" t="s">
        <v>336</v>
      </c>
      <c r="B16" s="49">
        <f t="shared" si="0"/>
        <v>4.9040511727078888</v>
      </c>
      <c r="C16" s="48">
        <f t="shared" si="2"/>
        <v>25.560538116591928</v>
      </c>
      <c r="D16" s="48">
        <f t="shared" si="3"/>
        <v>2.2628244258740815</v>
      </c>
      <c r="E16" s="48">
        <f t="shared" si="12"/>
        <v>3.466551582653211</v>
      </c>
      <c r="F16" s="49">
        <f t="shared" si="13"/>
        <v>0</v>
      </c>
      <c r="G16" s="49">
        <f t="shared" si="14"/>
        <v>4.4412333453749543E-2</v>
      </c>
      <c r="H16" s="172">
        <f t="shared" si="15"/>
        <v>1.87868982803302</v>
      </c>
      <c r="I16" s="49">
        <f t="shared" si="4"/>
        <v>2.4998883883490195</v>
      </c>
      <c r="J16" s="15"/>
      <c r="K16" s="46">
        <v>23</v>
      </c>
      <c r="L16" s="56">
        <f t="shared" si="1"/>
        <v>469</v>
      </c>
      <c r="M16" s="171">
        <v>446</v>
      </c>
      <c r="N16" s="171">
        <v>114</v>
      </c>
      <c r="O16" s="171">
        <v>10750</v>
      </c>
      <c r="P16" s="128">
        <f t="shared" si="5"/>
        <v>475070</v>
      </c>
      <c r="Q16" s="171">
        <v>464320</v>
      </c>
      <c r="R16" s="148">
        <v>16405</v>
      </c>
      <c r="S16" s="82">
        <f t="shared" si="6"/>
        <v>480725</v>
      </c>
      <c r="T16" s="152">
        <v>454075</v>
      </c>
      <c r="U16" s="148">
        <v>16306</v>
      </c>
      <c r="V16" s="82">
        <f t="shared" si="7"/>
        <v>470381</v>
      </c>
      <c r="W16" s="152"/>
      <c r="X16" s="82">
        <f t="shared" si="8"/>
        <v>470381</v>
      </c>
      <c r="Y16" s="148">
        <v>209</v>
      </c>
      <c r="Z16" s="38">
        <f t="shared" si="9"/>
        <v>470590</v>
      </c>
      <c r="AA16" s="87">
        <f t="shared" si="10"/>
        <v>8837</v>
      </c>
      <c r="AB16" s="148">
        <v>6045</v>
      </c>
      <c r="AC16" s="150">
        <v>661</v>
      </c>
      <c r="AD16" s="164">
        <v>2131</v>
      </c>
      <c r="AE16" s="165">
        <f t="shared" si="11"/>
        <v>13800</v>
      </c>
      <c r="AF16" s="152">
        <v>11759</v>
      </c>
      <c r="AG16" s="166">
        <v>2041</v>
      </c>
    </row>
    <row r="17" spans="1:33" x14ac:dyDescent="0.2">
      <c r="A17" s="2" t="s">
        <v>368</v>
      </c>
      <c r="B17" s="49">
        <f t="shared" si="0"/>
        <v>7.8125</v>
      </c>
      <c r="C17" s="48">
        <f t="shared" si="2"/>
        <v>26.101694915254235</v>
      </c>
      <c r="D17" s="48">
        <f t="shared" si="3"/>
        <v>2.8042964481452928</v>
      </c>
      <c r="E17" s="48">
        <f t="shared" si="12"/>
        <v>5.4432721718867061</v>
      </c>
      <c r="F17" s="49">
        <f t="shared" si="13"/>
        <v>0</v>
      </c>
      <c r="G17" s="49">
        <f t="shared" si="14"/>
        <v>9.7999487260066645E-2</v>
      </c>
      <c r="H17" s="172">
        <f t="shared" si="15"/>
        <v>1.8509857161187244</v>
      </c>
      <c r="I17" s="49">
        <f t="shared" si="4"/>
        <v>4.6576793970223633</v>
      </c>
      <c r="J17" s="15"/>
      <c r="K17" s="46">
        <v>25</v>
      </c>
      <c r="L17" s="56">
        <f t="shared" si="1"/>
        <v>320</v>
      </c>
      <c r="M17" s="171">
        <v>295</v>
      </c>
      <c r="N17" s="171">
        <v>77</v>
      </c>
      <c r="O17" s="171">
        <v>6621</v>
      </c>
      <c r="P17" s="128">
        <f t="shared" si="5"/>
        <v>236102</v>
      </c>
      <c r="Q17" s="171">
        <v>229481</v>
      </c>
      <c r="R17" s="148">
        <v>13647</v>
      </c>
      <c r="S17" s="82">
        <f t="shared" si="6"/>
        <v>243128</v>
      </c>
      <c r="T17" s="152">
        <v>228450</v>
      </c>
      <c r="U17" s="148">
        <v>13151</v>
      </c>
      <c r="V17" s="82">
        <f t="shared" si="7"/>
        <v>241601</v>
      </c>
      <c r="W17" s="152"/>
      <c r="X17" s="82">
        <f t="shared" si="8"/>
        <v>241601</v>
      </c>
      <c r="Y17" s="148">
        <v>237</v>
      </c>
      <c r="Z17" s="38">
        <f t="shared" si="9"/>
        <v>241838</v>
      </c>
      <c r="AA17" s="87">
        <f t="shared" si="10"/>
        <v>4472</v>
      </c>
      <c r="AB17" s="148">
        <v>3008</v>
      </c>
      <c r="AC17" s="150">
        <v>319</v>
      </c>
      <c r="AD17" s="164">
        <v>1145</v>
      </c>
      <c r="AE17" s="165">
        <f t="shared" si="11"/>
        <v>12391</v>
      </c>
      <c r="AF17" s="152">
        <v>11253</v>
      </c>
      <c r="AG17" s="166">
        <v>1138</v>
      </c>
    </row>
    <row r="18" spans="1:33" ht="14.25" x14ac:dyDescent="0.2">
      <c r="A18" s="4" t="s">
        <v>245</v>
      </c>
      <c r="B18" s="50"/>
      <c r="C18" s="216"/>
      <c r="D18" s="48"/>
      <c r="E18" s="48">
        <f t="shared" ref="E18" si="16">U18/X18*100</f>
        <v>4.127392173664667</v>
      </c>
      <c r="F18" s="49">
        <f t="shared" ref="F18" si="17">W18/X18*100</f>
        <v>0</v>
      </c>
      <c r="G18" s="49">
        <f>Y18/Z18*100</f>
        <v>30.511586364313004</v>
      </c>
      <c r="H18" s="172">
        <f t="shared" ref="H18" si="18">AA18/V18*100</f>
        <v>2.213653241930877</v>
      </c>
      <c r="I18" s="49">
        <f t="shared" ref="I18" si="19">AF18/V18*100</f>
        <v>2.7135104255926876</v>
      </c>
      <c r="J18" s="15"/>
      <c r="K18" s="46"/>
      <c r="L18" s="56"/>
      <c r="M18" s="149"/>
      <c r="N18" s="45"/>
      <c r="O18" s="150"/>
      <c r="P18" s="128">
        <f t="shared" si="5"/>
        <v>0</v>
      </c>
      <c r="Q18" s="171"/>
      <c r="R18" s="47"/>
      <c r="S18" s="82">
        <f t="shared" si="6"/>
        <v>0</v>
      </c>
      <c r="T18" s="152">
        <v>13426</v>
      </c>
      <c r="U18" s="148">
        <v>578</v>
      </c>
      <c r="V18" s="82">
        <f t="shared" si="7"/>
        <v>14004</v>
      </c>
      <c r="W18" s="152"/>
      <c r="X18" s="82">
        <f t="shared" si="8"/>
        <v>14004</v>
      </c>
      <c r="Y18" s="151">
        <v>6149</v>
      </c>
      <c r="Z18" s="120">
        <f t="shared" si="9"/>
        <v>20153</v>
      </c>
      <c r="AA18" s="85">
        <f t="shared" si="10"/>
        <v>310</v>
      </c>
      <c r="AB18" s="151">
        <v>16</v>
      </c>
      <c r="AC18" s="115">
        <v>253</v>
      </c>
      <c r="AD18" s="167">
        <v>41</v>
      </c>
      <c r="AE18" s="168">
        <f t="shared" si="11"/>
        <v>402</v>
      </c>
      <c r="AF18" s="169">
        <v>380</v>
      </c>
      <c r="AG18" s="170">
        <v>22</v>
      </c>
    </row>
    <row r="19" spans="1:33" x14ac:dyDescent="0.2">
      <c r="A19" s="6" t="s">
        <v>9</v>
      </c>
      <c r="B19" s="51">
        <f>K19/L19*100</f>
        <v>3.5456847847262809</v>
      </c>
      <c r="C19" s="50">
        <f>N19/M19*100</f>
        <v>25.530195920016158</v>
      </c>
      <c r="D19" s="51">
        <f>O19/P19*100</f>
        <v>3.1450114473421347</v>
      </c>
      <c r="E19" s="51">
        <f>U19/X19*100</f>
        <v>1.9932787911094632</v>
      </c>
      <c r="F19" s="51">
        <f>W19/X19*100</f>
        <v>0</v>
      </c>
      <c r="G19" s="51">
        <f t="shared" ref="G19" si="20">Y19/Z19*100</f>
        <v>0.21205083743521544</v>
      </c>
      <c r="H19" s="173">
        <f>AA19/V19*100</f>
        <v>1.9255104642269452</v>
      </c>
      <c r="I19" s="51">
        <f t="shared" si="4"/>
        <v>1.8932486615523676</v>
      </c>
      <c r="J19" s="15"/>
      <c r="K19" s="89">
        <f t="shared" ref="K19:AG19" si="21">SUM(K7:K18)</f>
        <v>182</v>
      </c>
      <c r="L19" s="89">
        <f t="shared" si="21"/>
        <v>5133</v>
      </c>
      <c r="M19" s="89">
        <f t="shared" si="21"/>
        <v>4951</v>
      </c>
      <c r="N19" s="89">
        <f t="shared" si="21"/>
        <v>1264</v>
      </c>
      <c r="O19" s="89">
        <f t="shared" si="21"/>
        <v>171752</v>
      </c>
      <c r="P19" s="129">
        <f t="shared" si="21"/>
        <v>5461093</v>
      </c>
      <c r="Q19" s="130">
        <f t="shared" si="21"/>
        <v>5289341</v>
      </c>
      <c r="R19" s="83">
        <f t="shared" si="21"/>
        <v>110090</v>
      </c>
      <c r="S19" s="83">
        <f t="shared" si="21"/>
        <v>5399431</v>
      </c>
      <c r="T19" s="83">
        <f t="shared" si="21"/>
        <v>5285870</v>
      </c>
      <c r="U19" s="83">
        <f t="shared" si="21"/>
        <v>107505</v>
      </c>
      <c r="V19" s="83">
        <f t="shared" si="21"/>
        <v>5393375</v>
      </c>
      <c r="W19" s="83">
        <f t="shared" si="21"/>
        <v>0</v>
      </c>
      <c r="X19" s="83">
        <f t="shared" si="21"/>
        <v>5393375</v>
      </c>
      <c r="Y19" s="83">
        <f t="shared" si="21"/>
        <v>11461</v>
      </c>
      <c r="Z19" s="85">
        <f t="shared" si="21"/>
        <v>5404836</v>
      </c>
      <c r="AA19" s="85">
        <f t="shared" si="21"/>
        <v>103850</v>
      </c>
      <c r="AB19" s="85">
        <f t="shared" si="21"/>
        <v>68488</v>
      </c>
      <c r="AC19" s="85">
        <f t="shared" si="21"/>
        <v>7063</v>
      </c>
      <c r="AD19" s="85">
        <f t="shared" si="21"/>
        <v>28299</v>
      </c>
      <c r="AE19" s="85">
        <f t="shared" si="21"/>
        <v>125664</v>
      </c>
      <c r="AF19" s="85">
        <f t="shared" si="21"/>
        <v>102110</v>
      </c>
      <c r="AG19" s="85">
        <f t="shared" si="21"/>
        <v>23554</v>
      </c>
    </row>
    <row r="20" spans="1:33" ht="14.25" x14ac:dyDescent="0.2">
      <c r="A20" s="18" t="s">
        <v>243</v>
      </c>
      <c r="H20" s="15"/>
      <c r="I20" s="15"/>
      <c r="M20" s="146"/>
      <c r="Q20" s="82"/>
      <c r="T20" s="19"/>
      <c r="U20" s="19"/>
      <c r="V20" s="19"/>
      <c r="W20" s="116"/>
      <c r="Y20" s="53"/>
      <c r="Z20" s="56"/>
      <c r="AA20" s="56"/>
    </row>
    <row r="21" spans="1:33" x14ac:dyDescent="0.2">
      <c r="A21" s="18" t="s">
        <v>28</v>
      </c>
      <c r="K21" s="20"/>
      <c r="L21" s="20"/>
      <c r="M21" s="20"/>
      <c r="N21" s="20"/>
      <c r="O21" s="22"/>
      <c r="P21" s="20"/>
      <c r="Q21" s="20"/>
      <c r="R21" s="20"/>
      <c r="S21" s="20"/>
      <c r="T21" s="20"/>
      <c r="U21" s="20"/>
      <c r="V21" s="153"/>
      <c r="W21" s="153"/>
      <c r="X21" s="153"/>
      <c r="Y21" s="153"/>
      <c r="Z21" s="153"/>
      <c r="AA21" s="56"/>
    </row>
    <row r="22" spans="1:33" ht="14.25" x14ac:dyDescent="0.2">
      <c r="A22" s="18" t="s">
        <v>244</v>
      </c>
      <c r="M22" s="146"/>
      <c r="AA22" s="56"/>
      <c r="AB22" s="25"/>
    </row>
    <row r="23" spans="1:33" ht="14.25" x14ac:dyDescent="0.2">
      <c r="A23" s="19" t="s">
        <v>242</v>
      </c>
      <c r="M23" s="146"/>
    </row>
    <row r="24" spans="1:33" ht="14.25" x14ac:dyDescent="0.2">
      <c r="A24" s="19" t="s">
        <v>172</v>
      </c>
      <c r="M24" s="146"/>
    </row>
    <row r="25" spans="1:33" ht="14.25" x14ac:dyDescent="0.2">
      <c r="M25" s="146"/>
      <c r="Q25" s="253" t="s">
        <v>178</v>
      </c>
      <c r="R25" s="253"/>
      <c r="S25" s="253"/>
      <c r="T25" s="254" t="s">
        <v>178</v>
      </c>
      <c r="U25" s="254"/>
      <c r="V25" s="254"/>
    </row>
    <row r="26" spans="1:33" ht="14.25" x14ac:dyDescent="0.2">
      <c r="B26" t="s">
        <v>209</v>
      </c>
      <c r="C26" t="s">
        <v>209</v>
      </c>
      <c r="D26" t="s">
        <v>209</v>
      </c>
      <c r="E26" t="s">
        <v>175</v>
      </c>
      <c r="F26" t="s">
        <v>175</v>
      </c>
      <c r="G26" t="s">
        <v>175</v>
      </c>
      <c r="H26" t="s">
        <v>175</v>
      </c>
      <c r="I26" t="s">
        <v>175</v>
      </c>
      <c r="K26" t="s">
        <v>209</v>
      </c>
      <c r="L26" t="s">
        <v>209</v>
      </c>
      <c r="M26" s="146" t="s">
        <v>209</v>
      </c>
      <c r="N26" t="s">
        <v>209</v>
      </c>
      <c r="O26" s="25" t="s">
        <v>209</v>
      </c>
      <c r="P26" t="s">
        <v>209</v>
      </c>
      <c r="Q26" s="253" t="s">
        <v>209</v>
      </c>
      <c r="R26" s="253"/>
      <c r="S26" s="253"/>
      <c r="T26" s="254" t="s">
        <v>175</v>
      </c>
      <c r="U26" s="254"/>
      <c r="V26" s="254"/>
      <c r="W26" t="s">
        <v>175</v>
      </c>
      <c r="X26" t="s">
        <v>175</v>
      </c>
      <c r="Y26" t="s">
        <v>175</v>
      </c>
      <c r="Z26" t="s">
        <v>175</v>
      </c>
      <c r="AA26" t="s">
        <v>175</v>
      </c>
      <c r="AB26" t="s">
        <v>175</v>
      </c>
      <c r="AC26" t="s">
        <v>175</v>
      </c>
      <c r="AD26" t="s">
        <v>175</v>
      </c>
      <c r="AE26" t="s">
        <v>175</v>
      </c>
      <c r="AF26" t="s">
        <v>175</v>
      </c>
      <c r="AG26" t="s">
        <v>175</v>
      </c>
    </row>
    <row r="27" spans="1:33" ht="14.25" x14ac:dyDescent="0.2">
      <c r="M27" s="146"/>
    </row>
    <row r="28" spans="1:33" ht="14.25" x14ac:dyDescent="0.2">
      <c r="C28" s="125"/>
      <c r="E28" s="125"/>
      <c r="F28" s="125"/>
      <c r="G28" s="125"/>
      <c r="H28" s="125"/>
      <c r="I28" s="125"/>
      <c r="M28" s="146"/>
    </row>
    <row r="29" spans="1:33" ht="14.25" x14ac:dyDescent="0.2">
      <c r="C29" s="125"/>
      <c r="E29" s="125"/>
      <c r="F29" s="125"/>
      <c r="G29" s="125"/>
      <c r="H29" s="125"/>
      <c r="I29" s="125"/>
      <c r="M29" s="146"/>
    </row>
    <row r="30" spans="1:33" ht="14.25" x14ac:dyDescent="0.2">
      <c r="C30" s="125"/>
      <c r="D30" s="125"/>
      <c r="E30" s="125"/>
      <c r="F30" s="125"/>
      <c r="G30" s="125"/>
      <c r="H30" s="125"/>
      <c r="I30" s="125"/>
      <c r="M30" s="146"/>
    </row>
    <row r="31" spans="1:33" ht="14.25" x14ac:dyDescent="0.2">
      <c r="C31" s="125"/>
      <c r="D31" s="125"/>
      <c r="E31" s="125"/>
      <c r="F31" s="125"/>
      <c r="G31" s="125"/>
      <c r="H31" s="125"/>
      <c r="I31" s="125"/>
      <c r="M31" s="146"/>
    </row>
    <row r="32" spans="1:33" ht="14.25" x14ac:dyDescent="0.2">
      <c r="C32" s="125"/>
      <c r="D32" s="125"/>
      <c r="E32" s="125"/>
      <c r="F32" s="125"/>
      <c r="G32" s="125"/>
      <c r="H32" s="125"/>
      <c r="I32" s="125"/>
      <c r="M32" s="146"/>
    </row>
    <row r="33" spans="3:13" ht="14.25" x14ac:dyDescent="0.2">
      <c r="C33" s="125"/>
      <c r="D33" s="125"/>
      <c r="E33" s="125"/>
      <c r="F33" s="125"/>
      <c r="G33" s="125"/>
      <c r="H33" s="125"/>
      <c r="I33" s="125"/>
      <c r="M33" s="146"/>
    </row>
    <row r="34" spans="3:13" ht="14.25" x14ac:dyDescent="0.2">
      <c r="C34" s="125"/>
      <c r="D34" s="125"/>
      <c r="E34" s="125"/>
      <c r="F34" s="125"/>
      <c r="G34" s="125"/>
      <c r="H34" s="125"/>
      <c r="I34" s="125"/>
      <c r="M34" s="146"/>
    </row>
    <row r="35" spans="3:13" ht="14.25" x14ac:dyDescent="0.2">
      <c r="C35" s="125"/>
      <c r="D35" s="125"/>
      <c r="E35" s="125"/>
      <c r="F35" s="125"/>
      <c r="G35" s="125"/>
      <c r="H35" s="125"/>
      <c r="I35" s="125"/>
      <c r="M35" s="146"/>
    </row>
    <row r="36" spans="3:13" ht="14.25" x14ac:dyDescent="0.2">
      <c r="C36" s="125"/>
      <c r="D36" s="125"/>
      <c r="E36" s="125"/>
      <c r="F36" s="125"/>
      <c r="G36" s="125"/>
      <c r="H36" s="125"/>
      <c r="I36" s="125"/>
      <c r="M36" s="146"/>
    </row>
    <row r="37" spans="3:13" ht="14.25" x14ac:dyDescent="0.2">
      <c r="C37" s="125"/>
      <c r="D37" s="125"/>
      <c r="E37" s="125"/>
      <c r="F37" s="125"/>
      <c r="G37" s="125"/>
      <c r="H37" s="125"/>
      <c r="I37" s="125"/>
      <c r="M37" s="146"/>
    </row>
    <row r="38" spans="3:13" ht="14.25" x14ac:dyDescent="0.2">
      <c r="C38" s="125"/>
      <c r="D38" s="125"/>
      <c r="E38" s="125"/>
      <c r="F38" s="125"/>
      <c r="G38" s="125"/>
      <c r="H38" s="125"/>
      <c r="I38" s="125"/>
      <c r="M38" s="146"/>
    </row>
    <row r="39" spans="3:13" ht="14.25" x14ac:dyDescent="0.2">
      <c r="C39" s="125"/>
      <c r="D39" s="125"/>
      <c r="E39" s="125"/>
      <c r="F39" s="125"/>
      <c r="G39" s="125"/>
      <c r="H39" s="125"/>
      <c r="I39" s="125"/>
      <c r="M39" s="146"/>
    </row>
    <row r="40" spans="3:13" ht="14.25" x14ac:dyDescent="0.2">
      <c r="C40" s="125"/>
      <c r="D40" s="125"/>
      <c r="E40" s="125"/>
      <c r="F40" s="125"/>
      <c r="G40" s="125"/>
      <c r="H40" s="125"/>
      <c r="I40" s="125"/>
      <c r="M40" s="146"/>
    </row>
    <row r="41" spans="3:13" ht="14.25" x14ac:dyDescent="0.2">
      <c r="C41" s="125"/>
      <c r="D41" s="125"/>
      <c r="E41" s="125"/>
      <c r="F41" s="125"/>
      <c r="G41" s="125"/>
      <c r="H41" s="125"/>
      <c r="I41" s="125"/>
      <c r="M41" s="146"/>
    </row>
    <row r="42" spans="3:13" ht="14.25" x14ac:dyDescent="0.2">
      <c r="C42" s="125"/>
      <c r="D42" s="125"/>
      <c r="E42" s="125"/>
      <c r="F42" s="125"/>
      <c r="G42" s="125"/>
      <c r="H42" s="125"/>
      <c r="I42" s="125"/>
      <c r="M42" s="146"/>
    </row>
    <row r="43" spans="3:13" ht="14.25" x14ac:dyDescent="0.2">
      <c r="C43" s="125"/>
      <c r="D43" s="125"/>
      <c r="E43" s="125"/>
      <c r="F43" s="125"/>
      <c r="G43" s="125"/>
      <c r="H43" s="125"/>
      <c r="I43" s="125"/>
      <c r="M43" s="146"/>
    </row>
    <row r="44" spans="3:13" ht="14.25" x14ac:dyDescent="0.2">
      <c r="C44" s="125"/>
      <c r="D44" s="125"/>
      <c r="E44" s="125"/>
      <c r="F44" s="125"/>
      <c r="G44" s="125"/>
      <c r="H44" s="125"/>
      <c r="I44" s="125"/>
      <c r="M44" s="146"/>
    </row>
    <row r="45" spans="3:13" ht="14.25" x14ac:dyDescent="0.2">
      <c r="C45" s="125"/>
      <c r="D45" s="125"/>
      <c r="E45" s="125"/>
      <c r="F45" s="125"/>
      <c r="G45" s="125"/>
      <c r="H45" s="125"/>
      <c r="I45" s="125"/>
      <c r="M45" s="146"/>
    </row>
    <row r="46" spans="3:13" ht="14.25" x14ac:dyDescent="0.2">
      <c r="C46" s="125"/>
      <c r="D46" s="125"/>
      <c r="E46" s="125"/>
      <c r="F46" s="125"/>
      <c r="G46" s="125"/>
      <c r="H46" s="125"/>
      <c r="I46" s="125"/>
      <c r="M46" s="146"/>
    </row>
    <row r="47" spans="3:13" ht="14.25" x14ac:dyDescent="0.2">
      <c r="C47" s="125"/>
      <c r="D47" s="125"/>
      <c r="E47" s="125"/>
      <c r="F47" s="125"/>
      <c r="G47" s="125"/>
      <c r="H47" s="125"/>
      <c r="I47" s="125"/>
      <c r="M47" s="146"/>
    </row>
    <row r="48" spans="3:13" ht="14.25" x14ac:dyDescent="0.2">
      <c r="C48" s="125"/>
      <c r="D48" s="125"/>
      <c r="E48" s="125"/>
      <c r="F48" s="125"/>
      <c r="G48" s="125"/>
      <c r="H48" s="125"/>
      <c r="I48" s="125"/>
      <c r="M48" s="146"/>
    </row>
    <row r="49" spans="4:13" ht="14.25" x14ac:dyDescent="0.2">
      <c r="D49" s="125"/>
      <c r="M49" s="146"/>
    </row>
    <row r="50" spans="4:13" ht="14.25" x14ac:dyDescent="0.2">
      <c r="D50" s="125"/>
      <c r="M50" s="146"/>
    </row>
    <row r="51" spans="4:13" ht="14.25" x14ac:dyDescent="0.2">
      <c r="M51" s="146"/>
    </row>
    <row r="52" spans="4:13" ht="14.25" x14ac:dyDescent="0.2">
      <c r="M52" s="146"/>
    </row>
    <row r="53" spans="4:13" ht="14.25" x14ac:dyDescent="0.2">
      <c r="M53" s="146"/>
    </row>
    <row r="54" spans="4:13" ht="14.25" x14ac:dyDescent="0.2">
      <c r="M54" s="146"/>
    </row>
    <row r="55" spans="4:13" ht="14.25" x14ac:dyDescent="0.2">
      <c r="M55" s="146"/>
    </row>
    <row r="56" spans="4:13" ht="14.25" x14ac:dyDescent="0.2">
      <c r="M56" s="146"/>
    </row>
    <row r="57" spans="4:13" ht="14.25" x14ac:dyDescent="0.2">
      <c r="M57" s="146"/>
    </row>
    <row r="58" spans="4:13" ht="14.25" x14ac:dyDescent="0.2">
      <c r="M58" s="146"/>
    </row>
    <row r="59" spans="4:13" ht="14.25" x14ac:dyDescent="0.2">
      <c r="M59" s="146"/>
    </row>
    <row r="60" spans="4:13" ht="14.25" x14ac:dyDescent="0.2">
      <c r="M60" s="146"/>
    </row>
    <row r="61" spans="4:13" ht="14.25" x14ac:dyDescent="0.2">
      <c r="M61" s="146"/>
    </row>
    <row r="62" spans="4:13" ht="14.25" x14ac:dyDescent="0.2">
      <c r="M62" s="146"/>
    </row>
    <row r="63" spans="4:13" ht="14.25" x14ac:dyDescent="0.2">
      <c r="M63" s="146"/>
    </row>
    <row r="64" spans="4:13" ht="14.25" x14ac:dyDescent="0.2">
      <c r="M64" s="146"/>
    </row>
    <row r="65" spans="13:13" ht="14.25" x14ac:dyDescent="0.2">
      <c r="M65" s="146"/>
    </row>
    <row r="66" spans="13:13" ht="14.25" x14ac:dyDescent="0.2">
      <c r="M66" s="146"/>
    </row>
    <row r="67" spans="13:13" ht="14.25" x14ac:dyDescent="0.2">
      <c r="M67" s="146"/>
    </row>
    <row r="68" spans="13:13" ht="14.25" x14ac:dyDescent="0.2">
      <c r="M68" s="146"/>
    </row>
    <row r="69" spans="13:13" ht="14.25" x14ac:dyDescent="0.2">
      <c r="M69" s="146"/>
    </row>
    <row r="70" spans="13:13" ht="14.25" x14ac:dyDescent="0.2">
      <c r="M70" s="146"/>
    </row>
    <row r="71" spans="13:13" ht="14.25" x14ac:dyDescent="0.2">
      <c r="M71" s="146"/>
    </row>
    <row r="72" spans="13:13" ht="14.25" x14ac:dyDescent="0.2">
      <c r="M72" s="146"/>
    </row>
    <row r="73" spans="13:13" ht="14.25" x14ac:dyDescent="0.2">
      <c r="M73" s="146"/>
    </row>
    <row r="74" spans="13:13" ht="14.25" x14ac:dyDescent="0.2">
      <c r="M74" s="146"/>
    </row>
    <row r="75" spans="13:13" ht="14.25" x14ac:dyDescent="0.2">
      <c r="M75" s="146"/>
    </row>
    <row r="76" spans="13:13" ht="14.25" x14ac:dyDescent="0.2">
      <c r="M76" s="146"/>
    </row>
    <row r="77" spans="13:13" ht="14.25" x14ac:dyDescent="0.2">
      <c r="M77" s="146"/>
    </row>
    <row r="78" spans="13:13" ht="14.25" x14ac:dyDescent="0.2">
      <c r="M78" s="146"/>
    </row>
    <row r="79" spans="13:13" ht="14.25" x14ac:dyDescent="0.2">
      <c r="M79" s="146"/>
    </row>
    <row r="80" spans="13:13" ht="14.25" x14ac:dyDescent="0.2">
      <c r="M80" s="146"/>
    </row>
    <row r="81" spans="13:13" ht="14.25" x14ac:dyDescent="0.2">
      <c r="M81" s="146"/>
    </row>
    <row r="82" spans="13:13" ht="14.25" x14ac:dyDescent="0.2">
      <c r="M82" s="146"/>
    </row>
    <row r="83" spans="13:13" ht="14.25" x14ac:dyDescent="0.2">
      <c r="M83" s="146"/>
    </row>
    <row r="84" spans="13:13" ht="14.25" x14ac:dyDescent="0.2">
      <c r="M84" s="146"/>
    </row>
    <row r="85" spans="13:13" ht="14.25" x14ac:dyDescent="0.2">
      <c r="M85" s="146"/>
    </row>
    <row r="86" spans="13:13" ht="14.25" x14ac:dyDescent="0.2">
      <c r="M86" s="146"/>
    </row>
    <row r="87" spans="13:13" ht="14.25" x14ac:dyDescent="0.2">
      <c r="M87" s="146"/>
    </row>
    <row r="88" spans="13:13" ht="14.25" x14ac:dyDescent="0.2">
      <c r="M88" s="146"/>
    </row>
    <row r="89" spans="13:13" ht="14.25" x14ac:dyDescent="0.2">
      <c r="M89" s="146"/>
    </row>
    <row r="90" spans="13:13" ht="14.25" x14ac:dyDescent="0.2">
      <c r="M90" s="146"/>
    </row>
    <row r="91" spans="13:13" ht="14.25" x14ac:dyDescent="0.2">
      <c r="M91" s="146"/>
    </row>
    <row r="92" spans="13:13" ht="14.25" x14ac:dyDescent="0.2">
      <c r="M92" s="146"/>
    </row>
    <row r="93" spans="13:13" ht="14.25" x14ac:dyDescent="0.2">
      <c r="M93" s="146"/>
    </row>
    <row r="94" spans="13:13" ht="14.25" x14ac:dyDescent="0.2">
      <c r="M94" s="146"/>
    </row>
    <row r="95" spans="13:13" ht="14.25" x14ac:dyDescent="0.2">
      <c r="M95" s="146"/>
    </row>
    <row r="96" spans="13:13" ht="14.25" x14ac:dyDescent="0.2">
      <c r="M96" s="146"/>
    </row>
    <row r="97" spans="13:13" ht="14.25" x14ac:dyDescent="0.2">
      <c r="M97" s="146"/>
    </row>
    <row r="98" spans="13:13" ht="14.25" x14ac:dyDescent="0.2">
      <c r="M98" s="146"/>
    </row>
    <row r="99" spans="13:13" ht="14.25" x14ac:dyDescent="0.2">
      <c r="M99" s="146"/>
    </row>
    <row r="100" spans="13:13" ht="14.25" x14ac:dyDescent="0.2">
      <c r="M100" s="147"/>
    </row>
  </sheetData>
  <mergeCells count="4">
    <mergeCell ref="Q25:S25"/>
    <mergeCell ref="T25:V25"/>
    <mergeCell ref="Q26:S26"/>
    <mergeCell ref="T26:V26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2"/>
  <sheetViews>
    <sheetView zoomScale="98" zoomScaleNormal="98" workbookViewId="0">
      <pane ySplit="1530" topLeftCell="A50" activePane="bottomLeft"/>
      <selection activeCell="A2" sqref="A2"/>
      <selection pane="bottomLeft" activeCell="J84" sqref="J84"/>
    </sheetView>
  </sheetViews>
  <sheetFormatPr baseColWidth="10" defaultRowHeight="12.75" x14ac:dyDescent="0.2"/>
  <cols>
    <col min="1" max="1" width="11.5703125" style="32" customWidth="1"/>
    <col min="2" max="3" width="8.28515625" customWidth="1"/>
    <col min="4" max="4" width="15.28515625" customWidth="1"/>
    <col min="5" max="6" width="11.28515625" customWidth="1"/>
    <col min="7" max="10" width="10.85546875" customWidth="1"/>
    <col min="11" max="12" width="9.7109375" customWidth="1"/>
    <col min="14" max="14" width="12.140625" customWidth="1"/>
    <col min="15" max="16" width="15.28515625" customWidth="1"/>
  </cols>
  <sheetData>
    <row r="1" spans="1:16" x14ac:dyDescent="0.2">
      <c r="A1" s="26" t="s">
        <v>310</v>
      </c>
      <c r="M1" s="53"/>
      <c r="N1" s="53"/>
      <c r="O1" s="53"/>
      <c r="P1" s="53"/>
    </row>
    <row r="2" spans="1:16" s="20" customFormat="1" x14ac:dyDescent="0.2">
      <c r="A2" s="32"/>
      <c r="B2"/>
      <c r="C2"/>
      <c r="D2"/>
      <c r="E2" s="244" t="s">
        <v>161</v>
      </c>
      <c r="F2" s="244"/>
      <c r="G2" s="244"/>
      <c r="H2" s="13"/>
      <c r="I2" s="13"/>
      <c r="J2" s="13" t="s">
        <v>77</v>
      </c>
      <c r="L2" s="13" t="s">
        <v>10</v>
      </c>
      <c r="M2" s="54" t="s">
        <v>10</v>
      </c>
      <c r="N2" s="54" t="s">
        <v>10</v>
      </c>
      <c r="O2" s="54" t="s">
        <v>4</v>
      </c>
      <c r="P2" s="54" t="s">
        <v>4</v>
      </c>
    </row>
    <row r="3" spans="1:16" x14ac:dyDescent="0.2">
      <c r="B3" s="13"/>
      <c r="C3" s="13" t="s">
        <v>10</v>
      </c>
      <c r="D3" s="13" t="s">
        <v>4</v>
      </c>
      <c r="E3" s="245" t="s">
        <v>160</v>
      </c>
      <c r="F3" s="245"/>
      <c r="G3" s="245"/>
      <c r="H3" s="13" t="s">
        <v>13</v>
      </c>
      <c r="I3" s="13" t="s">
        <v>186</v>
      </c>
      <c r="J3" s="13" t="s">
        <v>78</v>
      </c>
      <c r="L3" s="13" t="s">
        <v>78</v>
      </c>
      <c r="M3" s="54" t="s">
        <v>32</v>
      </c>
      <c r="N3" s="54" t="s">
        <v>32</v>
      </c>
      <c r="O3" s="54" t="s">
        <v>44</v>
      </c>
      <c r="P3" s="54" t="s">
        <v>44</v>
      </c>
    </row>
    <row r="4" spans="1:16" x14ac:dyDescent="0.2">
      <c r="B4" s="13" t="s">
        <v>10</v>
      </c>
      <c r="C4" s="13" t="s">
        <v>32</v>
      </c>
      <c r="D4" s="13" t="s">
        <v>44</v>
      </c>
      <c r="E4" s="13"/>
      <c r="F4" s="13" t="s">
        <v>33</v>
      </c>
      <c r="G4" s="13" t="s">
        <v>34</v>
      </c>
      <c r="H4" s="13" t="s">
        <v>32</v>
      </c>
      <c r="I4" s="13" t="s">
        <v>32</v>
      </c>
      <c r="J4" s="13" t="s">
        <v>32</v>
      </c>
      <c r="L4" s="13" t="s">
        <v>32</v>
      </c>
      <c r="M4" s="54" t="s">
        <v>205</v>
      </c>
      <c r="N4" s="54" t="s">
        <v>205</v>
      </c>
      <c r="O4" s="54" t="s">
        <v>60</v>
      </c>
      <c r="P4" s="54" t="s">
        <v>60</v>
      </c>
    </row>
    <row r="5" spans="1:16" x14ac:dyDescent="0.2">
      <c r="A5" s="95"/>
      <c r="B5" s="12" t="s">
        <v>31</v>
      </c>
      <c r="C5" s="12" t="s">
        <v>204</v>
      </c>
      <c r="D5" s="12" t="s">
        <v>45</v>
      </c>
      <c r="E5" s="12" t="s">
        <v>159</v>
      </c>
      <c r="F5" s="12" t="s">
        <v>35</v>
      </c>
      <c r="G5" s="12" t="s">
        <v>35</v>
      </c>
      <c r="H5" s="12" t="s">
        <v>12</v>
      </c>
      <c r="I5" s="12" t="s">
        <v>12</v>
      </c>
      <c r="J5" s="12" t="s">
        <v>12</v>
      </c>
      <c r="L5" s="12" t="s">
        <v>144</v>
      </c>
      <c r="M5" s="76" t="s">
        <v>59</v>
      </c>
      <c r="N5" s="76" t="s">
        <v>61</v>
      </c>
      <c r="O5" s="76" t="s">
        <v>59</v>
      </c>
      <c r="P5" s="76" t="s">
        <v>61</v>
      </c>
    </row>
    <row r="6" spans="1:16" ht="14.25" x14ac:dyDescent="0.2">
      <c r="A6" s="37" t="s">
        <v>36</v>
      </c>
      <c r="B6" s="77">
        <v>3486</v>
      </c>
      <c r="C6" s="39">
        <v>3511</v>
      </c>
      <c r="D6" s="41" t="s">
        <v>101</v>
      </c>
      <c r="E6" s="35" t="s">
        <v>101</v>
      </c>
      <c r="F6" s="35" t="s">
        <v>101</v>
      </c>
      <c r="G6" s="35" t="s">
        <v>101</v>
      </c>
      <c r="H6" s="41" t="s">
        <v>101</v>
      </c>
      <c r="I6" s="75" t="s">
        <v>101</v>
      </c>
      <c r="J6" s="41" t="s">
        <v>101</v>
      </c>
      <c r="L6" s="75" t="s">
        <v>101</v>
      </c>
      <c r="M6" s="77">
        <v>2515</v>
      </c>
      <c r="N6" s="73">
        <f>C6-M6</f>
        <v>996</v>
      </c>
      <c r="O6" s="41" t="s">
        <v>101</v>
      </c>
      <c r="P6" s="75" t="s">
        <v>107</v>
      </c>
    </row>
    <row r="7" spans="1:16" ht="14.25" x14ac:dyDescent="0.2">
      <c r="A7" s="37" t="s">
        <v>102</v>
      </c>
      <c r="B7" s="41" t="s">
        <v>37</v>
      </c>
      <c r="C7" s="39">
        <v>3561</v>
      </c>
      <c r="D7" s="41" t="s">
        <v>101</v>
      </c>
      <c r="E7" s="35" t="s">
        <v>101</v>
      </c>
      <c r="F7" s="35" t="s">
        <v>101</v>
      </c>
      <c r="G7" s="35" t="s">
        <v>101</v>
      </c>
      <c r="H7" s="41" t="s">
        <v>101</v>
      </c>
      <c r="I7" s="75" t="s">
        <v>101</v>
      </c>
      <c r="J7" s="41" t="s">
        <v>101</v>
      </c>
      <c r="L7" s="75" t="s">
        <v>101</v>
      </c>
      <c r="M7" s="41" t="s">
        <v>37</v>
      </c>
      <c r="N7" s="75" t="s">
        <v>37</v>
      </c>
      <c r="O7" s="41" t="s">
        <v>101</v>
      </c>
      <c r="P7" s="75" t="s">
        <v>107</v>
      </c>
    </row>
    <row r="8" spans="1:16" ht="14.25" x14ac:dyDescent="0.2">
      <c r="A8" s="37" t="s">
        <v>108</v>
      </c>
      <c r="B8" s="41" t="s">
        <v>37</v>
      </c>
      <c r="C8" s="39">
        <v>3561</v>
      </c>
      <c r="D8" s="39">
        <v>4177640</v>
      </c>
      <c r="E8" s="25">
        <f t="shared" ref="E8:E15" si="0">D8/C8</f>
        <v>1173.1648413367031</v>
      </c>
      <c r="F8" s="35" t="s">
        <v>37</v>
      </c>
      <c r="G8" s="35" t="s">
        <v>37</v>
      </c>
      <c r="H8" s="41" t="s">
        <v>37</v>
      </c>
      <c r="I8" s="75" t="s">
        <v>37</v>
      </c>
      <c r="J8" s="41" t="s">
        <v>37</v>
      </c>
      <c r="K8" s="25"/>
      <c r="L8" s="75" t="s">
        <v>37</v>
      </c>
      <c r="M8" s="41" t="s">
        <v>37</v>
      </c>
      <c r="N8" s="75" t="s">
        <v>37</v>
      </c>
      <c r="O8" s="41" t="s">
        <v>37</v>
      </c>
      <c r="P8" s="75" t="s">
        <v>37</v>
      </c>
    </row>
    <row r="9" spans="1:16" x14ac:dyDescent="0.2">
      <c r="A9" s="37">
        <v>37072</v>
      </c>
      <c r="B9" s="74">
        <v>3585</v>
      </c>
      <c r="C9" s="39">
        <v>3619</v>
      </c>
      <c r="D9" s="39">
        <v>4250699</v>
      </c>
      <c r="E9" s="25">
        <f t="shared" si="0"/>
        <v>1174.5507046145344</v>
      </c>
      <c r="F9" s="28">
        <f t="shared" ref="F9:G14" si="1">O9/M9</f>
        <v>1224.630046583851</v>
      </c>
      <c r="G9" s="28">
        <f t="shared" si="1"/>
        <v>1050.8648130393096</v>
      </c>
      <c r="H9" s="66">
        <v>2158</v>
      </c>
      <c r="I9" s="113">
        <f t="shared" ref="I9:I23" si="2">H9*100/C9</f>
        <v>59.629731970157501</v>
      </c>
      <c r="J9" s="66">
        <v>535435</v>
      </c>
      <c r="K9" s="25"/>
      <c r="L9" s="25">
        <f>D9+J9</f>
        <v>4786134</v>
      </c>
      <c r="M9" s="39">
        <v>2576</v>
      </c>
      <c r="N9" s="73">
        <f t="shared" ref="N9:N15" si="3">C9-M9</f>
        <v>1043</v>
      </c>
      <c r="O9" s="39">
        <v>3154647</v>
      </c>
      <c r="P9" s="73">
        <f t="shared" ref="P9:P17" si="4">D9-O9</f>
        <v>1096052</v>
      </c>
    </row>
    <row r="10" spans="1:16" x14ac:dyDescent="0.2">
      <c r="A10" s="37">
        <v>37164</v>
      </c>
      <c r="B10" s="39">
        <v>3635</v>
      </c>
      <c r="C10" s="39">
        <v>3670</v>
      </c>
      <c r="D10" s="39">
        <v>4335920</v>
      </c>
      <c r="E10" s="25">
        <f t="shared" si="0"/>
        <v>1181.449591280654</v>
      </c>
      <c r="F10" s="28">
        <f t="shared" si="1"/>
        <v>1227.7738095238096</v>
      </c>
      <c r="G10" s="28">
        <f t="shared" si="1"/>
        <v>1068.2898686679175</v>
      </c>
      <c r="H10" s="66">
        <v>2003</v>
      </c>
      <c r="I10" s="113">
        <f t="shared" si="2"/>
        <v>54.577656675749317</v>
      </c>
      <c r="J10" s="66">
        <v>536751</v>
      </c>
      <c r="L10" s="25">
        <f t="shared" ref="L10:L35" si="5">D10+J10</f>
        <v>4872671</v>
      </c>
      <c r="M10" s="39">
        <v>2604</v>
      </c>
      <c r="N10" s="73">
        <f t="shared" si="3"/>
        <v>1066</v>
      </c>
      <c r="O10" s="39">
        <v>3197123</v>
      </c>
      <c r="P10" s="73">
        <f t="shared" si="4"/>
        <v>1138797</v>
      </c>
    </row>
    <row r="11" spans="1:16" x14ac:dyDescent="0.2">
      <c r="A11" s="37">
        <v>37256</v>
      </c>
      <c r="B11" s="39">
        <v>3661</v>
      </c>
      <c r="C11" s="39">
        <v>3693</v>
      </c>
      <c r="D11" s="39">
        <v>4372498</v>
      </c>
      <c r="E11" s="25">
        <f t="shared" si="0"/>
        <v>1183.9962090441375</v>
      </c>
      <c r="F11" s="28">
        <f t="shared" si="1"/>
        <v>1229.2216711178939</v>
      </c>
      <c r="G11" s="28">
        <f t="shared" si="1"/>
        <v>1073.4216417910447</v>
      </c>
      <c r="H11" s="66">
        <v>1999</v>
      </c>
      <c r="I11" s="113">
        <f t="shared" si="2"/>
        <v>54.129434064446251</v>
      </c>
      <c r="J11" s="66">
        <v>532418</v>
      </c>
      <c r="L11" s="25">
        <f t="shared" si="5"/>
        <v>4904916</v>
      </c>
      <c r="M11" s="39">
        <v>2621</v>
      </c>
      <c r="N11" s="73">
        <f t="shared" si="3"/>
        <v>1072</v>
      </c>
      <c r="O11" s="39">
        <v>3221790</v>
      </c>
      <c r="P11" s="73">
        <f t="shared" si="4"/>
        <v>1150708</v>
      </c>
    </row>
    <row r="12" spans="1:16" x14ac:dyDescent="0.2">
      <c r="A12" s="37">
        <v>37346</v>
      </c>
      <c r="B12" s="39">
        <v>3692</v>
      </c>
      <c r="C12" s="39">
        <v>3721</v>
      </c>
      <c r="D12" s="39">
        <v>4414814</v>
      </c>
      <c r="E12" s="25">
        <f t="shared" si="0"/>
        <v>1186.4590163934427</v>
      </c>
      <c r="F12" s="28">
        <f t="shared" si="1"/>
        <v>1231.4414106939705</v>
      </c>
      <c r="G12" s="28">
        <f t="shared" si="1"/>
        <v>1077.0322878228783</v>
      </c>
      <c r="H12" s="66">
        <v>1932</v>
      </c>
      <c r="I12" s="113">
        <f t="shared" si="2"/>
        <v>51.921526471378662</v>
      </c>
      <c r="J12" s="66">
        <v>503994</v>
      </c>
      <c r="L12" s="25">
        <f t="shared" si="5"/>
        <v>4918808</v>
      </c>
      <c r="M12" s="39">
        <v>2637</v>
      </c>
      <c r="N12" s="73">
        <f t="shared" si="3"/>
        <v>1084</v>
      </c>
      <c r="O12" s="39">
        <v>3247311</v>
      </c>
      <c r="P12" s="73">
        <f t="shared" si="4"/>
        <v>1167503</v>
      </c>
    </row>
    <row r="13" spans="1:16" x14ac:dyDescent="0.2">
      <c r="A13" s="67">
        <v>37437</v>
      </c>
      <c r="B13" s="66">
        <v>3695</v>
      </c>
      <c r="C13" s="66">
        <v>3719</v>
      </c>
      <c r="D13" s="66">
        <v>4424202</v>
      </c>
      <c r="E13" s="28">
        <f t="shared" si="0"/>
        <v>1189.621403603119</v>
      </c>
      <c r="F13" s="28">
        <f t="shared" si="1"/>
        <v>1232.2405159332322</v>
      </c>
      <c r="G13" s="28">
        <f t="shared" si="1"/>
        <v>1085.887349953832</v>
      </c>
      <c r="H13" s="66">
        <v>1913</v>
      </c>
      <c r="I13" s="113">
        <f t="shared" si="2"/>
        <v>51.438558752352783</v>
      </c>
      <c r="J13" s="66">
        <v>494022</v>
      </c>
      <c r="L13" s="25">
        <f t="shared" si="5"/>
        <v>4918224</v>
      </c>
      <c r="M13" s="43">
        <v>2636</v>
      </c>
      <c r="N13" s="73">
        <f t="shared" si="3"/>
        <v>1083</v>
      </c>
      <c r="O13" s="43">
        <v>3248186</v>
      </c>
      <c r="P13" s="73">
        <f t="shared" si="4"/>
        <v>1176016</v>
      </c>
    </row>
    <row r="14" spans="1:16" x14ac:dyDescent="0.2">
      <c r="A14" s="91">
        <v>37529</v>
      </c>
      <c r="B14" s="66">
        <v>3704</v>
      </c>
      <c r="C14" s="66">
        <v>3730</v>
      </c>
      <c r="D14" s="66">
        <v>4439182</v>
      </c>
      <c r="E14" s="28">
        <f t="shared" si="0"/>
        <v>1190.1292225201073</v>
      </c>
      <c r="F14" s="28">
        <f t="shared" si="1"/>
        <v>1232.4927866362946</v>
      </c>
      <c r="G14" s="28">
        <f t="shared" si="1"/>
        <v>1088.3175182481752</v>
      </c>
      <c r="H14" s="66">
        <v>2229</v>
      </c>
      <c r="I14" s="113">
        <f t="shared" si="2"/>
        <v>59.75871313672922</v>
      </c>
      <c r="J14" s="66">
        <v>492597</v>
      </c>
      <c r="L14" s="25">
        <f t="shared" si="5"/>
        <v>4931779</v>
      </c>
      <c r="M14" s="43">
        <v>2634</v>
      </c>
      <c r="N14" s="73">
        <f t="shared" si="3"/>
        <v>1096</v>
      </c>
      <c r="O14" s="43">
        <v>3246386</v>
      </c>
      <c r="P14" s="73">
        <f t="shared" si="4"/>
        <v>1192796</v>
      </c>
    </row>
    <row r="15" spans="1:16" s="16" customFormat="1" x14ac:dyDescent="0.2">
      <c r="A15" s="91">
        <v>37621</v>
      </c>
      <c r="B15" s="66">
        <v>3703</v>
      </c>
      <c r="C15" s="66">
        <v>3728</v>
      </c>
      <c r="D15" s="66">
        <v>4451531</v>
      </c>
      <c r="E15" s="28">
        <f t="shared" si="0"/>
        <v>1194.0802038626609</v>
      </c>
      <c r="F15" s="28">
        <f t="shared" ref="F15:G17" si="6">O15/M15</f>
        <v>1236.2624382833269</v>
      </c>
      <c r="G15" s="28">
        <f t="shared" si="6"/>
        <v>1092.6502283105024</v>
      </c>
      <c r="H15" s="66">
        <v>2087</v>
      </c>
      <c r="I15" s="113">
        <f t="shared" si="2"/>
        <v>55.981759656652358</v>
      </c>
      <c r="J15" s="66">
        <v>464085</v>
      </c>
      <c r="L15" s="25">
        <f t="shared" si="5"/>
        <v>4915616</v>
      </c>
      <c r="M15" s="43">
        <v>2633</v>
      </c>
      <c r="N15" s="73">
        <f t="shared" si="3"/>
        <v>1095</v>
      </c>
      <c r="O15" s="43">
        <v>3255079</v>
      </c>
      <c r="P15" s="73">
        <f t="shared" si="4"/>
        <v>1196452</v>
      </c>
    </row>
    <row r="16" spans="1:16" x14ac:dyDescent="0.2">
      <c r="A16" s="91">
        <v>37711</v>
      </c>
      <c r="B16" s="66">
        <v>3708</v>
      </c>
      <c r="C16" s="66">
        <v>3732</v>
      </c>
      <c r="D16" s="66">
        <v>4464780</v>
      </c>
      <c r="E16" s="28">
        <f t="shared" ref="E16:E21" si="7">D16/C16</f>
        <v>1196.3504823151125</v>
      </c>
      <c r="F16" s="28">
        <f t="shared" si="6"/>
        <v>1237.430413348502</v>
      </c>
      <c r="G16" s="28">
        <f t="shared" si="6"/>
        <v>1097.4210045662101</v>
      </c>
      <c r="H16" s="66">
        <v>2031</v>
      </c>
      <c r="I16" s="113">
        <f t="shared" si="2"/>
        <v>54.421221864951768</v>
      </c>
      <c r="J16" s="66">
        <v>450643</v>
      </c>
      <c r="K16" s="16"/>
      <c r="L16" s="25">
        <f t="shared" si="5"/>
        <v>4915423</v>
      </c>
      <c r="M16" s="43">
        <v>2637</v>
      </c>
      <c r="N16" s="73">
        <f t="shared" ref="N16:N21" si="8">C16-M16</f>
        <v>1095</v>
      </c>
      <c r="O16" s="43">
        <v>3263104</v>
      </c>
      <c r="P16" s="73">
        <f t="shared" si="4"/>
        <v>1201676</v>
      </c>
    </row>
    <row r="17" spans="1:16" x14ac:dyDescent="0.2">
      <c r="A17" s="91">
        <v>37802</v>
      </c>
      <c r="B17" s="66">
        <v>3701</v>
      </c>
      <c r="C17" s="66">
        <v>3726</v>
      </c>
      <c r="D17" s="66">
        <v>4463992</v>
      </c>
      <c r="E17" s="28">
        <f t="shared" si="7"/>
        <v>1198.0654857756308</v>
      </c>
      <c r="F17" s="28">
        <f t="shared" si="6"/>
        <v>1236.9332574895716</v>
      </c>
      <c r="G17" s="28">
        <f t="shared" si="6"/>
        <v>1103.9476584022038</v>
      </c>
      <c r="H17" s="66">
        <v>1983</v>
      </c>
      <c r="I17" s="113">
        <f t="shared" si="2"/>
        <v>53.22061191626409</v>
      </c>
      <c r="J17" s="66">
        <v>447002</v>
      </c>
      <c r="K17" s="16"/>
      <c r="L17" s="25">
        <f t="shared" si="5"/>
        <v>4910994</v>
      </c>
      <c r="M17" s="43">
        <v>2637</v>
      </c>
      <c r="N17" s="73">
        <f t="shared" si="8"/>
        <v>1089</v>
      </c>
      <c r="O17" s="43">
        <v>3261793</v>
      </c>
      <c r="P17" s="73">
        <f t="shared" si="4"/>
        <v>1202199</v>
      </c>
    </row>
    <row r="18" spans="1:16" x14ac:dyDescent="0.2">
      <c r="A18" s="91">
        <v>37894</v>
      </c>
      <c r="B18" s="66">
        <v>3711</v>
      </c>
      <c r="C18" s="66">
        <v>3734</v>
      </c>
      <c r="D18" s="66">
        <v>4474195</v>
      </c>
      <c r="E18" s="28">
        <f t="shared" si="7"/>
        <v>1198.2311194429567</v>
      </c>
      <c r="F18" s="28">
        <f t="shared" ref="F18:G20" si="9">O18/M18</f>
        <v>1237.6437784522002</v>
      </c>
      <c r="G18" s="28">
        <f t="shared" si="9"/>
        <v>1103.6120218579235</v>
      </c>
      <c r="H18" s="66">
        <v>2005</v>
      </c>
      <c r="I18" s="113">
        <f t="shared" si="2"/>
        <v>53.69576861274772</v>
      </c>
      <c r="J18" s="66">
        <v>431824</v>
      </c>
      <c r="K18" s="16"/>
      <c r="L18" s="25">
        <f t="shared" si="5"/>
        <v>4906019</v>
      </c>
      <c r="M18" s="43">
        <v>2636</v>
      </c>
      <c r="N18" s="73">
        <f t="shared" si="8"/>
        <v>1098</v>
      </c>
      <c r="O18" s="43">
        <v>3262429</v>
      </c>
      <c r="P18" s="73">
        <f t="shared" ref="P18:P23" si="10">D18-O18</f>
        <v>1211766</v>
      </c>
    </row>
    <row r="19" spans="1:16" x14ac:dyDescent="0.2">
      <c r="A19" s="91">
        <v>37986</v>
      </c>
      <c r="B19" s="66">
        <v>3713</v>
      </c>
      <c r="C19" s="66">
        <v>3737</v>
      </c>
      <c r="D19" s="66">
        <v>4496102</v>
      </c>
      <c r="E19" s="28">
        <f t="shared" si="7"/>
        <v>1203.1313888145571</v>
      </c>
      <c r="F19" s="28">
        <f t="shared" si="9"/>
        <v>1240.3175624526873</v>
      </c>
      <c r="G19" s="28">
        <f t="shared" si="9"/>
        <v>1113.4091324200913</v>
      </c>
      <c r="H19" s="66">
        <v>1930</v>
      </c>
      <c r="I19" s="113">
        <f t="shared" si="2"/>
        <v>51.645705111051647</v>
      </c>
      <c r="J19" s="66">
        <v>414046</v>
      </c>
      <c r="K19" s="16"/>
      <c r="L19" s="25">
        <f t="shared" si="5"/>
        <v>4910148</v>
      </c>
      <c r="M19" s="43">
        <v>2642</v>
      </c>
      <c r="N19" s="73">
        <f t="shared" si="8"/>
        <v>1095</v>
      </c>
      <c r="O19" s="43">
        <v>3276919</v>
      </c>
      <c r="P19" s="73">
        <f t="shared" si="10"/>
        <v>1219183</v>
      </c>
    </row>
    <row r="20" spans="1:16" x14ac:dyDescent="0.2">
      <c r="A20" s="91">
        <v>38077</v>
      </c>
      <c r="B20" s="66">
        <v>3727</v>
      </c>
      <c r="C20" s="66">
        <v>3747</v>
      </c>
      <c r="D20" s="66">
        <v>4507688</v>
      </c>
      <c r="E20" s="28">
        <f t="shared" si="7"/>
        <v>1203.0125433680278</v>
      </c>
      <c r="F20" s="28">
        <f t="shared" si="9"/>
        <v>1242.0461422087747</v>
      </c>
      <c r="G20" s="28">
        <f t="shared" si="9"/>
        <v>1109.4451495920218</v>
      </c>
      <c r="H20" s="66">
        <v>1957</v>
      </c>
      <c r="I20" s="113">
        <f t="shared" si="2"/>
        <v>52.228449426207632</v>
      </c>
      <c r="J20" s="66">
        <v>411879</v>
      </c>
      <c r="K20" s="16"/>
      <c r="L20" s="25">
        <f t="shared" si="5"/>
        <v>4919567</v>
      </c>
      <c r="M20" s="43">
        <v>2644</v>
      </c>
      <c r="N20" s="73">
        <f t="shared" si="8"/>
        <v>1103</v>
      </c>
      <c r="O20" s="43">
        <v>3283970</v>
      </c>
      <c r="P20" s="73">
        <f t="shared" si="10"/>
        <v>1223718</v>
      </c>
    </row>
    <row r="21" spans="1:16" x14ac:dyDescent="0.2">
      <c r="A21" s="91">
        <v>38168</v>
      </c>
      <c r="B21" s="66">
        <v>3739</v>
      </c>
      <c r="C21" s="66">
        <v>3759</v>
      </c>
      <c r="D21" s="66">
        <v>4511322</v>
      </c>
      <c r="E21" s="28">
        <f t="shared" si="7"/>
        <v>1200.1388667198723</v>
      </c>
      <c r="F21" s="28">
        <f t="shared" ref="F21:G23" si="11">O21/M21</f>
        <v>1240.9606953892669</v>
      </c>
      <c r="G21" s="28">
        <f t="shared" si="11"/>
        <v>1103.0907457322551</v>
      </c>
      <c r="H21" s="66">
        <v>1901</v>
      </c>
      <c r="I21" s="113">
        <f t="shared" si="2"/>
        <v>50.571960627826549</v>
      </c>
      <c r="J21" s="66">
        <v>420548</v>
      </c>
      <c r="K21" s="16"/>
      <c r="L21" s="25">
        <f t="shared" si="5"/>
        <v>4931870</v>
      </c>
      <c r="M21" s="43">
        <v>2646</v>
      </c>
      <c r="N21" s="73">
        <f t="shared" si="8"/>
        <v>1113</v>
      </c>
      <c r="O21" s="43">
        <v>3283582</v>
      </c>
      <c r="P21" s="73">
        <f t="shared" si="10"/>
        <v>1227740</v>
      </c>
    </row>
    <row r="22" spans="1:16" x14ac:dyDescent="0.2">
      <c r="A22" s="91">
        <v>38260</v>
      </c>
      <c r="B22" s="66">
        <v>3747</v>
      </c>
      <c r="C22" s="66">
        <v>3767</v>
      </c>
      <c r="D22" s="66">
        <v>4516179</v>
      </c>
      <c r="E22" s="28">
        <f t="shared" ref="E22:E27" si="12">D22/C22</f>
        <v>1198.8794796920627</v>
      </c>
      <c r="F22" s="28">
        <f t="shared" si="11"/>
        <v>1239.999243570348</v>
      </c>
      <c r="G22" s="28">
        <f t="shared" si="11"/>
        <v>1102.06678539626</v>
      </c>
      <c r="H22" s="66">
        <v>2039</v>
      </c>
      <c r="I22" s="113">
        <f t="shared" si="2"/>
        <v>54.127953278470933</v>
      </c>
      <c r="J22" s="66">
        <v>423863</v>
      </c>
      <c r="K22" s="16"/>
      <c r="L22" s="25">
        <f t="shared" si="5"/>
        <v>4940042</v>
      </c>
      <c r="M22" s="43">
        <v>2644</v>
      </c>
      <c r="N22" s="73">
        <f t="shared" ref="N22:N27" si="13">C22-M22</f>
        <v>1123</v>
      </c>
      <c r="O22" s="43">
        <v>3278558</v>
      </c>
      <c r="P22" s="73">
        <f t="shared" si="10"/>
        <v>1237621</v>
      </c>
    </row>
    <row r="23" spans="1:16" x14ac:dyDescent="0.2">
      <c r="A23" s="91">
        <v>38352</v>
      </c>
      <c r="B23" s="66">
        <v>3755</v>
      </c>
      <c r="C23" s="66">
        <v>3778</v>
      </c>
      <c r="D23" s="66">
        <v>4528778</v>
      </c>
      <c r="E23" s="28">
        <f t="shared" si="12"/>
        <v>1198.7236633139228</v>
      </c>
      <c r="F23" s="28">
        <f t="shared" si="11"/>
        <v>1237.5263951734539</v>
      </c>
      <c r="G23" s="28">
        <f t="shared" si="11"/>
        <v>1107.3339253996448</v>
      </c>
      <c r="H23" s="66">
        <v>2050</v>
      </c>
      <c r="I23" s="113">
        <f t="shared" si="2"/>
        <v>54.261514028586554</v>
      </c>
      <c r="J23" s="66">
        <v>423500</v>
      </c>
      <c r="K23" s="16"/>
      <c r="L23" s="25">
        <f t="shared" si="5"/>
        <v>4952278</v>
      </c>
      <c r="M23" s="43">
        <v>2652</v>
      </c>
      <c r="N23" s="73">
        <f t="shared" si="13"/>
        <v>1126</v>
      </c>
      <c r="O23" s="43">
        <v>3281920</v>
      </c>
      <c r="P23" s="73">
        <f t="shared" si="10"/>
        <v>1246858</v>
      </c>
    </row>
    <row r="24" spans="1:16" x14ac:dyDescent="0.2">
      <c r="A24" s="91">
        <v>38442</v>
      </c>
      <c r="B24" s="66">
        <v>3762</v>
      </c>
      <c r="C24" s="66">
        <v>3785</v>
      </c>
      <c r="D24" s="66">
        <v>4540405</v>
      </c>
      <c r="E24" s="28">
        <f t="shared" si="12"/>
        <v>1199.5785997357991</v>
      </c>
      <c r="F24" s="28">
        <f t="shared" ref="F24:G26" si="14">O24/M24</f>
        <v>1239.0049056603773</v>
      </c>
      <c r="G24" s="28">
        <f t="shared" si="14"/>
        <v>1107.5259911894273</v>
      </c>
      <c r="H24" s="66">
        <v>2097</v>
      </c>
      <c r="I24" s="113">
        <f t="shared" ref="I24:I29" si="15">H24*100/C24</f>
        <v>55.402906208718626</v>
      </c>
      <c r="J24" s="66">
        <v>426501</v>
      </c>
      <c r="K24" s="16"/>
      <c r="L24" s="25">
        <f t="shared" si="5"/>
        <v>4966906</v>
      </c>
      <c r="M24" s="43">
        <v>2650</v>
      </c>
      <c r="N24" s="73">
        <f t="shared" si="13"/>
        <v>1135</v>
      </c>
      <c r="O24" s="43">
        <v>3283363</v>
      </c>
      <c r="P24" s="73">
        <f t="shared" ref="P24:P29" si="16">D24-O24</f>
        <v>1257042</v>
      </c>
    </row>
    <row r="25" spans="1:16" x14ac:dyDescent="0.2">
      <c r="A25" s="91">
        <v>38533</v>
      </c>
      <c r="B25" s="66">
        <v>3767</v>
      </c>
      <c r="C25" s="66">
        <v>3793</v>
      </c>
      <c r="D25" s="66">
        <v>4547637</v>
      </c>
      <c r="E25" s="28">
        <f t="shared" si="12"/>
        <v>1198.9551805958345</v>
      </c>
      <c r="F25" s="28">
        <f t="shared" si="14"/>
        <v>1236.6821092278719</v>
      </c>
      <c r="G25" s="28">
        <f t="shared" si="14"/>
        <v>1110.9367311072056</v>
      </c>
      <c r="H25" s="66">
        <v>1966</v>
      </c>
      <c r="I25" s="113">
        <f t="shared" si="15"/>
        <v>51.832322699709991</v>
      </c>
      <c r="J25" s="66">
        <v>420017</v>
      </c>
      <c r="K25" s="16"/>
      <c r="L25" s="25">
        <f t="shared" si="5"/>
        <v>4967654</v>
      </c>
      <c r="M25" s="43">
        <v>2655</v>
      </c>
      <c r="N25" s="73">
        <f t="shared" si="13"/>
        <v>1138</v>
      </c>
      <c r="O25" s="43">
        <v>3283391</v>
      </c>
      <c r="P25" s="73">
        <f t="shared" si="16"/>
        <v>1264246</v>
      </c>
    </row>
    <row r="26" spans="1:16" x14ac:dyDescent="0.2">
      <c r="A26" s="91">
        <v>38625</v>
      </c>
      <c r="B26" s="66">
        <v>3765</v>
      </c>
      <c r="C26" s="66">
        <v>3789</v>
      </c>
      <c r="D26" s="66">
        <v>4548537</v>
      </c>
      <c r="E26" s="28">
        <f t="shared" si="12"/>
        <v>1200.4584323040381</v>
      </c>
      <c r="F26" s="28">
        <f t="shared" si="14"/>
        <v>1239.3725861416131</v>
      </c>
      <c r="G26" s="28">
        <f t="shared" si="14"/>
        <v>1110.9355400696863</v>
      </c>
      <c r="H26" s="66">
        <v>2036</v>
      </c>
      <c r="I26" s="113">
        <f t="shared" si="15"/>
        <v>53.734494589601475</v>
      </c>
      <c r="J26" s="66">
        <v>419054</v>
      </c>
      <c r="K26" s="16"/>
      <c r="L26" s="25">
        <f t="shared" si="5"/>
        <v>4967591</v>
      </c>
      <c r="M26" s="43">
        <v>2641</v>
      </c>
      <c r="N26" s="73">
        <f t="shared" si="13"/>
        <v>1148</v>
      </c>
      <c r="O26" s="43">
        <v>3273183</v>
      </c>
      <c r="P26" s="73">
        <f t="shared" si="16"/>
        <v>1275354</v>
      </c>
    </row>
    <row r="27" spans="1:16" x14ac:dyDescent="0.2">
      <c r="A27" s="91">
        <v>38717</v>
      </c>
      <c r="B27" s="66">
        <v>3757</v>
      </c>
      <c r="C27" s="66">
        <v>3782</v>
      </c>
      <c r="D27" s="66">
        <v>4552407</v>
      </c>
      <c r="E27" s="28">
        <f t="shared" si="12"/>
        <v>1203.7035959809625</v>
      </c>
      <c r="F27" s="28">
        <f t="shared" ref="F27:G29" si="17">O27/M27</f>
        <v>1242.5767477203647</v>
      </c>
      <c r="G27" s="28">
        <f t="shared" si="17"/>
        <v>1114.7347826086957</v>
      </c>
      <c r="H27" s="66">
        <v>1929</v>
      </c>
      <c r="I27" s="113">
        <f t="shared" si="15"/>
        <v>51.004759386567954</v>
      </c>
      <c r="J27" s="66">
        <v>404193</v>
      </c>
      <c r="K27" s="16"/>
      <c r="L27" s="25">
        <f t="shared" si="5"/>
        <v>4956600</v>
      </c>
      <c r="M27" s="43">
        <v>2632</v>
      </c>
      <c r="N27" s="73">
        <f t="shared" si="13"/>
        <v>1150</v>
      </c>
      <c r="O27" s="43">
        <v>3270462</v>
      </c>
      <c r="P27" s="73">
        <f t="shared" si="16"/>
        <v>1281945</v>
      </c>
    </row>
    <row r="28" spans="1:16" x14ac:dyDescent="0.2">
      <c r="A28" s="91">
        <v>38807</v>
      </c>
      <c r="B28" s="66">
        <v>3787</v>
      </c>
      <c r="C28" s="66">
        <v>3815</v>
      </c>
      <c r="D28" s="66">
        <v>4575086</v>
      </c>
      <c r="E28" s="28">
        <f t="shared" ref="E28:E33" si="18">D28/C28</f>
        <v>1199.2361730013106</v>
      </c>
      <c r="F28" s="28">
        <f t="shared" si="17"/>
        <v>1239.3891419893698</v>
      </c>
      <c r="G28" s="28">
        <f t="shared" si="17"/>
        <v>1109.6824724809483</v>
      </c>
      <c r="H28" s="66">
        <v>1940</v>
      </c>
      <c r="I28" s="113">
        <f t="shared" si="15"/>
        <v>50.851900393184799</v>
      </c>
      <c r="J28" s="66">
        <v>410250</v>
      </c>
      <c r="K28" s="16"/>
      <c r="L28" s="25">
        <f t="shared" si="5"/>
        <v>4985336</v>
      </c>
      <c r="M28" s="43">
        <v>2634</v>
      </c>
      <c r="N28" s="73">
        <f t="shared" ref="N28:N33" si="19">C28-M28</f>
        <v>1181</v>
      </c>
      <c r="O28" s="43">
        <v>3264551</v>
      </c>
      <c r="P28" s="73">
        <f t="shared" si="16"/>
        <v>1310535</v>
      </c>
    </row>
    <row r="29" spans="1:16" x14ac:dyDescent="0.2">
      <c r="A29" s="91">
        <v>38898</v>
      </c>
      <c r="B29" s="66">
        <v>3807</v>
      </c>
      <c r="C29" s="66">
        <v>3829</v>
      </c>
      <c r="D29" s="66">
        <v>4587896</v>
      </c>
      <c r="E29" s="28">
        <f t="shared" si="18"/>
        <v>1198.1969182554192</v>
      </c>
      <c r="F29" s="28">
        <f t="shared" si="17"/>
        <v>1238.6245733788396</v>
      </c>
      <c r="G29" s="28">
        <f t="shared" si="17"/>
        <v>1108.7609060402685</v>
      </c>
      <c r="H29" s="66">
        <v>1911</v>
      </c>
      <c r="I29" s="113">
        <f t="shared" si="15"/>
        <v>49.90859232175503</v>
      </c>
      <c r="J29" s="66">
        <v>407217</v>
      </c>
      <c r="K29" s="16"/>
      <c r="L29" s="25">
        <f t="shared" si="5"/>
        <v>4995113</v>
      </c>
      <c r="M29" s="43">
        <v>2637</v>
      </c>
      <c r="N29" s="73">
        <f t="shared" si="19"/>
        <v>1192</v>
      </c>
      <c r="O29" s="43">
        <v>3266253</v>
      </c>
      <c r="P29" s="73">
        <f t="shared" si="16"/>
        <v>1321643</v>
      </c>
    </row>
    <row r="30" spans="1:16" x14ac:dyDescent="0.2">
      <c r="A30" s="91">
        <v>38990</v>
      </c>
      <c r="B30" s="66">
        <v>3828</v>
      </c>
      <c r="C30" s="66">
        <v>3846</v>
      </c>
      <c r="D30" s="66">
        <v>4601457</v>
      </c>
      <c r="E30" s="28">
        <f t="shared" si="18"/>
        <v>1196.4266770670827</v>
      </c>
      <c r="F30" s="28">
        <f t="shared" ref="F30:G32" si="20">O30/M30</f>
        <v>1235.8695652173913</v>
      </c>
      <c r="G30" s="28">
        <f t="shared" si="20"/>
        <v>1109.5603663613656</v>
      </c>
      <c r="H30" s="66">
        <v>1874</v>
      </c>
      <c r="I30" s="113">
        <f t="shared" ref="I30:I35" si="21">H30*100/C30</f>
        <v>48.72594903796152</v>
      </c>
      <c r="J30" s="66">
        <v>409216</v>
      </c>
      <c r="K30" s="16"/>
      <c r="L30" s="25">
        <f t="shared" si="5"/>
        <v>5010673</v>
      </c>
      <c r="M30" s="43">
        <v>2645</v>
      </c>
      <c r="N30" s="73">
        <f t="shared" si="19"/>
        <v>1201</v>
      </c>
      <c r="O30" s="43">
        <v>3268875</v>
      </c>
      <c r="P30" s="73">
        <f t="shared" ref="P30:P35" si="22">D30-O30</f>
        <v>1332582</v>
      </c>
    </row>
    <row r="31" spans="1:16" x14ac:dyDescent="0.2">
      <c r="A31" s="91">
        <v>39082</v>
      </c>
      <c r="B31" s="66">
        <v>3841</v>
      </c>
      <c r="C31" s="66">
        <v>3860</v>
      </c>
      <c r="D31" s="66">
        <v>4616449</v>
      </c>
      <c r="E31" s="28">
        <f t="shared" si="18"/>
        <v>1195.9712435233162</v>
      </c>
      <c r="F31" s="28">
        <f t="shared" si="20"/>
        <v>1235.5955522050508</v>
      </c>
      <c r="G31" s="28">
        <f t="shared" si="20"/>
        <v>1108.8765534382767</v>
      </c>
      <c r="H31" s="66">
        <v>1895</v>
      </c>
      <c r="I31" s="113">
        <f t="shared" si="21"/>
        <v>49.093264248704664</v>
      </c>
      <c r="J31" s="66">
        <v>403840</v>
      </c>
      <c r="K31" s="16"/>
      <c r="L31" s="25">
        <f t="shared" si="5"/>
        <v>5020289</v>
      </c>
      <c r="M31" s="43">
        <v>2653</v>
      </c>
      <c r="N31" s="73">
        <f t="shared" si="19"/>
        <v>1207</v>
      </c>
      <c r="O31" s="43">
        <v>3278035</v>
      </c>
      <c r="P31" s="73">
        <f t="shared" si="22"/>
        <v>1338414</v>
      </c>
    </row>
    <row r="32" spans="1:16" x14ac:dyDescent="0.2">
      <c r="A32" s="91">
        <v>39172</v>
      </c>
      <c r="B32" s="66">
        <v>3851</v>
      </c>
      <c r="C32" s="66">
        <v>3867</v>
      </c>
      <c r="D32" s="66">
        <v>4623196</v>
      </c>
      <c r="E32" s="28">
        <f t="shared" si="18"/>
        <v>1195.5510731833463</v>
      </c>
      <c r="F32" s="28">
        <f t="shared" si="20"/>
        <v>1235.3579781214637</v>
      </c>
      <c r="G32" s="28">
        <f t="shared" si="20"/>
        <v>1108.7680921052631</v>
      </c>
      <c r="H32" s="66">
        <v>1895</v>
      </c>
      <c r="I32" s="113">
        <f t="shared" si="21"/>
        <v>49.004396172743732</v>
      </c>
      <c r="J32" s="66">
        <v>398854</v>
      </c>
      <c r="K32" s="16"/>
      <c r="L32" s="25">
        <f t="shared" si="5"/>
        <v>5022050</v>
      </c>
      <c r="M32" s="43">
        <v>2651</v>
      </c>
      <c r="N32" s="73">
        <f t="shared" si="19"/>
        <v>1216</v>
      </c>
      <c r="O32" s="43">
        <v>3274934</v>
      </c>
      <c r="P32" s="73">
        <f t="shared" si="22"/>
        <v>1348262</v>
      </c>
    </row>
    <row r="33" spans="1:16" x14ac:dyDescent="0.2">
      <c r="A33" s="91">
        <v>39263</v>
      </c>
      <c r="B33" s="66">
        <v>3862</v>
      </c>
      <c r="C33" s="66">
        <v>3880</v>
      </c>
      <c r="D33" s="66">
        <v>4640625</v>
      </c>
      <c r="E33" s="28">
        <f t="shared" si="18"/>
        <v>1196.0373711340205</v>
      </c>
      <c r="F33" s="28">
        <f t="shared" ref="F33:G35" si="23">O33/M33</f>
        <v>1236.1585503963761</v>
      </c>
      <c r="G33" s="28">
        <f t="shared" si="23"/>
        <v>1109.7002437043054</v>
      </c>
      <c r="H33" s="66">
        <v>1803</v>
      </c>
      <c r="I33" s="113">
        <f t="shared" si="21"/>
        <v>46.46907216494845</v>
      </c>
      <c r="J33" s="66">
        <v>390104</v>
      </c>
      <c r="K33" s="16"/>
      <c r="L33" s="25">
        <f t="shared" si="5"/>
        <v>5030729</v>
      </c>
      <c r="M33" s="43">
        <v>2649</v>
      </c>
      <c r="N33" s="73">
        <f t="shared" si="19"/>
        <v>1231</v>
      </c>
      <c r="O33" s="43">
        <v>3274584</v>
      </c>
      <c r="P33" s="73">
        <f t="shared" si="22"/>
        <v>1366041</v>
      </c>
    </row>
    <row r="34" spans="1:16" x14ac:dyDescent="0.2">
      <c r="A34" s="91">
        <v>39355</v>
      </c>
      <c r="B34" s="66">
        <v>3868</v>
      </c>
      <c r="C34" s="66">
        <v>3889</v>
      </c>
      <c r="D34" s="66">
        <v>4647896</v>
      </c>
      <c r="E34" s="28">
        <f t="shared" ref="E34:E48" si="24">D34/C34</f>
        <v>1195.1391103111339</v>
      </c>
      <c r="F34" s="28">
        <f t="shared" si="23"/>
        <v>1234.9664404223229</v>
      </c>
      <c r="G34" s="28">
        <f t="shared" si="23"/>
        <v>1109.7534357316088</v>
      </c>
      <c r="H34" s="66">
        <v>1853</v>
      </c>
      <c r="I34" s="113">
        <f t="shared" si="21"/>
        <v>47.647210079712011</v>
      </c>
      <c r="J34" s="66">
        <v>381512</v>
      </c>
      <c r="K34" s="16"/>
      <c r="L34" s="25">
        <f t="shared" si="5"/>
        <v>5029408</v>
      </c>
      <c r="M34" s="43">
        <v>2652</v>
      </c>
      <c r="N34" s="73">
        <f>C34-M34</f>
        <v>1237</v>
      </c>
      <c r="O34" s="43">
        <v>3275131</v>
      </c>
      <c r="P34" s="73">
        <f t="shared" si="22"/>
        <v>1372765</v>
      </c>
    </row>
    <row r="35" spans="1:16" x14ac:dyDescent="0.2">
      <c r="A35" s="91">
        <v>39447</v>
      </c>
      <c r="B35" s="66">
        <v>3891</v>
      </c>
      <c r="C35" s="66">
        <v>3909</v>
      </c>
      <c r="D35" s="66">
        <v>4664841</v>
      </c>
      <c r="E35" s="28">
        <f t="shared" si="24"/>
        <v>1193.3591711435149</v>
      </c>
      <c r="F35" s="28">
        <f t="shared" si="23"/>
        <v>1232.9419525065964</v>
      </c>
      <c r="G35" s="28">
        <f t="shared" si="23"/>
        <v>1109.75</v>
      </c>
      <c r="H35" s="66">
        <v>1819</v>
      </c>
      <c r="I35" s="113">
        <f t="shared" si="21"/>
        <v>46.53364031721668</v>
      </c>
      <c r="J35" s="66">
        <v>372467</v>
      </c>
      <c r="K35" s="16"/>
      <c r="L35" s="25">
        <f t="shared" si="5"/>
        <v>5037308</v>
      </c>
      <c r="M35" s="43">
        <v>2653</v>
      </c>
      <c r="N35" s="73">
        <f>C35-M35</f>
        <v>1256</v>
      </c>
      <c r="O35" s="43">
        <v>3270995</v>
      </c>
      <c r="P35" s="73">
        <f t="shared" si="22"/>
        <v>1393846</v>
      </c>
    </row>
    <row r="36" spans="1:16" x14ac:dyDescent="0.2">
      <c r="A36" s="91">
        <v>39538</v>
      </c>
      <c r="B36" s="66">
        <v>3921</v>
      </c>
      <c r="C36" s="66">
        <v>3937</v>
      </c>
      <c r="D36" s="66">
        <v>4689405</v>
      </c>
      <c r="E36" s="28">
        <f t="shared" si="24"/>
        <v>1191.1112522225044</v>
      </c>
      <c r="F36" s="28">
        <f t="shared" ref="F36:G48" si="25">O36/M36</f>
        <v>1232.176204819277</v>
      </c>
      <c r="G36" s="28">
        <f t="shared" si="25"/>
        <v>1105.967993754879</v>
      </c>
      <c r="H36" s="66">
        <v>1782</v>
      </c>
      <c r="I36" s="113">
        <f t="shared" ref="I36:I48" si="26">H36*100/C36</f>
        <v>45.262890525781053</v>
      </c>
      <c r="J36" s="66">
        <v>362057</v>
      </c>
      <c r="K36" s="16"/>
      <c r="L36" s="25">
        <f t="shared" ref="L36:L48" si="27">D36+J36</f>
        <v>5051462</v>
      </c>
      <c r="M36" s="43">
        <v>2656</v>
      </c>
      <c r="N36" s="73">
        <f>C36-M36</f>
        <v>1281</v>
      </c>
      <c r="O36" s="43">
        <v>3272660</v>
      </c>
      <c r="P36" s="73">
        <f t="shared" ref="P36:P48" si="28">D36-O36</f>
        <v>1416745</v>
      </c>
    </row>
    <row r="37" spans="1:16" x14ac:dyDescent="0.2">
      <c r="A37" s="91">
        <v>39629</v>
      </c>
      <c r="B37" s="66">
        <v>3929</v>
      </c>
      <c r="C37" s="66">
        <v>3949</v>
      </c>
      <c r="D37" s="66">
        <v>4710188</v>
      </c>
      <c r="E37" s="28">
        <f t="shared" si="24"/>
        <v>1192.7546214231452</v>
      </c>
      <c r="F37" s="28">
        <f t="shared" si="25"/>
        <v>1233.4094339622641</v>
      </c>
      <c r="G37" s="28">
        <f t="shared" si="25"/>
        <v>1109.8175519630486</v>
      </c>
      <c r="H37" s="66">
        <v>1774</v>
      </c>
      <c r="I37" s="113">
        <f t="shared" si="26"/>
        <v>44.922765257027095</v>
      </c>
      <c r="J37" s="66">
        <v>344334</v>
      </c>
      <c r="K37" s="16"/>
      <c r="L37" s="25">
        <f t="shared" si="27"/>
        <v>5054522</v>
      </c>
      <c r="M37" s="43">
        <v>2650</v>
      </c>
      <c r="N37" s="73">
        <f t="shared" ref="N37:N48" si="29">C37-M37</f>
        <v>1299</v>
      </c>
      <c r="O37" s="43">
        <v>3268535</v>
      </c>
      <c r="P37" s="73">
        <f t="shared" si="28"/>
        <v>1441653</v>
      </c>
    </row>
    <row r="38" spans="1:16" x14ac:dyDescent="0.2">
      <c r="A38" s="91">
        <v>39721</v>
      </c>
      <c r="B38" s="66">
        <v>3946</v>
      </c>
      <c r="C38" s="66">
        <v>3966</v>
      </c>
      <c r="D38" s="66">
        <v>4727276</v>
      </c>
      <c r="E38" s="28">
        <f t="shared" si="24"/>
        <v>1191.9505799294</v>
      </c>
      <c r="F38" s="28">
        <f t="shared" si="25"/>
        <v>1235.4040862656072</v>
      </c>
      <c r="G38" s="28">
        <f t="shared" si="25"/>
        <v>1105.1421012849585</v>
      </c>
      <c r="H38" s="66">
        <v>1792</v>
      </c>
      <c r="I38" s="113">
        <f t="shared" si="26"/>
        <v>45.184064548663642</v>
      </c>
      <c r="J38" s="66">
        <v>341047</v>
      </c>
      <c r="K38" s="16"/>
      <c r="L38" s="25">
        <f t="shared" si="27"/>
        <v>5068323</v>
      </c>
      <c r="M38" s="43">
        <v>2643</v>
      </c>
      <c r="N38" s="73">
        <f t="shared" si="29"/>
        <v>1323</v>
      </c>
      <c r="O38" s="43">
        <v>3265173</v>
      </c>
      <c r="P38" s="73">
        <f t="shared" si="28"/>
        <v>1462103</v>
      </c>
    </row>
    <row r="39" spans="1:16" x14ac:dyDescent="0.2">
      <c r="A39" s="91">
        <v>39813</v>
      </c>
      <c r="B39" s="66">
        <v>3969</v>
      </c>
      <c r="C39" s="66">
        <v>3983</v>
      </c>
      <c r="D39" s="66">
        <v>4738065</v>
      </c>
      <c r="E39" s="28">
        <f t="shared" si="24"/>
        <v>1189.5719307054983</v>
      </c>
      <c r="F39" s="28">
        <f t="shared" si="25"/>
        <v>1234.4000000000001</v>
      </c>
      <c r="G39" s="28">
        <f t="shared" si="25"/>
        <v>1100.9544095665171</v>
      </c>
      <c r="H39" s="66">
        <v>1818</v>
      </c>
      <c r="I39" s="113">
        <f t="shared" si="26"/>
        <v>45.643986944514182</v>
      </c>
      <c r="J39" s="66">
        <v>342688</v>
      </c>
      <c r="K39" s="16"/>
      <c r="L39" s="25">
        <f t="shared" si="27"/>
        <v>5080753</v>
      </c>
      <c r="M39" s="43">
        <v>2645</v>
      </c>
      <c r="N39" s="73">
        <f t="shared" si="29"/>
        <v>1338</v>
      </c>
      <c r="O39" s="43">
        <v>3264988</v>
      </c>
      <c r="P39" s="73">
        <f t="shared" si="28"/>
        <v>1473077</v>
      </c>
    </row>
    <row r="40" spans="1:16" x14ac:dyDescent="0.2">
      <c r="A40" s="91">
        <v>39903</v>
      </c>
      <c r="B40" s="66">
        <v>3989</v>
      </c>
      <c r="C40" s="66">
        <v>4004</v>
      </c>
      <c r="D40" s="66">
        <v>4757172</v>
      </c>
      <c r="E40" s="28">
        <f t="shared" si="24"/>
        <v>1188.1048951048951</v>
      </c>
      <c r="F40" s="28">
        <f t="shared" si="25"/>
        <v>1233.6299242424243</v>
      </c>
      <c r="G40" s="28">
        <f t="shared" si="25"/>
        <v>1099.991935483871</v>
      </c>
      <c r="H40" s="66">
        <v>1823</v>
      </c>
      <c r="I40" s="113">
        <f t="shared" si="26"/>
        <v>45.52947052947053</v>
      </c>
      <c r="J40" s="66">
        <v>335855</v>
      </c>
      <c r="K40" s="16"/>
      <c r="L40" s="25">
        <f t="shared" si="27"/>
        <v>5093027</v>
      </c>
      <c r="M40" s="43">
        <v>2640</v>
      </c>
      <c r="N40" s="73">
        <f t="shared" si="29"/>
        <v>1364</v>
      </c>
      <c r="O40" s="43">
        <v>3256783</v>
      </c>
      <c r="P40" s="73">
        <f t="shared" si="28"/>
        <v>1500389</v>
      </c>
    </row>
    <row r="41" spans="1:16" x14ac:dyDescent="0.2">
      <c r="A41" s="91">
        <v>39994</v>
      </c>
      <c r="B41" s="66">
        <v>4011</v>
      </c>
      <c r="C41" s="66">
        <v>4027</v>
      </c>
      <c r="D41" s="66">
        <v>4778147</v>
      </c>
      <c r="E41" s="28">
        <f t="shared" si="24"/>
        <v>1186.5276881052894</v>
      </c>
      <c r="F41" s="28">
        <f t="shared" si="25"/>
        <v>1232.429111531191</v>
      </c>
      <c r="G41" s="28">
        <f t="shared" si="25"/>
        <v>1098.6772793053547</v>
      </c>
      <c r="H41" s="66">
        <v>1703</v>
      </c>
      <c r="I41" s="113">
        <f t="shared" si="26"/>
        <v>42.289545567419914</v>
      </c>
      <c r="J41" s="66">
        <v>329207</v>
      </c>
      <c r="K41" s="16"/>
      <c r="L41" s="25">
        <f t="shared" si="27"/>
        <v>5107354</v>
      </c>
      <c r="M41" s="43">
        <v>2645</v>
      </c>
      <c r="N41" s="73">
        <f t="shared" si="29"/>
        <v>1382</v>
      </c>
      <c r="O41" s="43">
        <v>3259775</v>
      </c>
      <c r="P41" s="73">
        <f t="shared" si="28"/>
        <v>1518372</v>
      </c>
    </row>
    <row r="42" spans="1:16" x14ac:dyDescent="0.2">
      <c r="A42" s="91">
        <v>40086</v>
      </c>
      <c r="B42" s="66">
        <v>4033</v>
      </c>
      <c r="C42" s="66">
        <v>4050</v>
      </c>
      <c r="D42" s="66">
        <v>4787223</v>
      </c>
      <c r="E42" s="28">
        <f t="shared" si="24"/>
        <v>1182.0303703703703</v>
      </c>
      <c r="F42" s="28">
        <f t="shared" si="25"/>
        <v>1228.3142210486608</v>
      </c>
      <c r="G42" s="28">
        <f t="shared" si="25"/>
        <v>1094.3259471050751</v>
      </c>
      <c r="H42" s="66">
        <v>1762</v>
      </c>
      <c r="I42" s="113">
        <f t="shared" si="26"/>
        <v>43.506172839506171</v>
      </c>
      <c r="J42" s="66">
        <v>332829</v>
      </c>
      <c r="K42" s="16"/>
      <c r="L42" s="25">
        <f t="shared" si="27"/>
        <v>5120052</v>
      </c>
      <c r="M42" s="43">
        <v>2651</v>
      </c>
      <c r="N42" s="73">
        <f t="shared" si="29"/>
        <v>1399</v>
      </c>
      <c r="O42" s="43">
        <v>3256261</v>
      </c>
      <c r="P42" s="73">
        <f t="shared" si="28"/>
        <v>1530962</v>
      </c>
    </row>
    <row r="43" spans="1:16" x14ac:dyDescent="0.2">
      <c r="A43" s="91">
        <v>40178</v>
      </c>
      <c r="B43" s="66">
        <v>4049</v>
      </c>
      <c r="C43" s="66">
        <v>4064</v>
      </c>
      <c r="D43" s="66">
        <v>4803703</v>
      </c>
      <c r="E43" s="28">
        <f t="shared" si="24"/>
        <v>1182.013533464567</v>
      </c>
      <c r="F43" s="28">
        <f t="shared" si="25"/>
        <v>1229.0799095363739</v>
      </c>
      <c r="G43" s="28">
        <f t="shared" si="25"/>
        <v>1093.5180722891566</v>
      </c>
      <c r="H43" s="66">
        <v>1692</v>
      </c>
      <c r="I43" s="113">
        <f t="shared" si="26"/>
        <v>41.633858267716533</v>
      </c>
      <c r="J43" s="66">
        <v>325736</v>
      </c>
      <c r="K43" s="16"/>
      <c r="L43" s="25">
        <f t="shared" si="27"/>
        <v>5129439</v>
      </c>
      <c r="M43" s="43">
        <v>2653</v>
      </c>
      <c r="N43" s="73">
        <f t="shared" si="29"/>
        <v>1411</v>
      </c>
      <c r="O43" s="43">
        <v>3260749</v>
      </c>
      <c r="P43" s="73">
        <f t="shared" si="28"/>
        <v>1542954</v>
      </c>
    </row>
    <row r="44" spans="1:16" x14ac:dyDescent="0.2">
      <c r="A44" s="91">
        <v>40268</v>
      </c>
      <c r="B44" s="66">
        <v>4069</v>
      </c>
      <c r="C44" s="66">
        <v>4086</v>
      </c>
      <c r="D44" s="66">
        <v>4822256</v>
      </c>
      <c r="E44" s="28">
        <f t="shared" si="24"/>
        <v>1180.1899167890358</v>
      </c>
      <c r="F44" s="28">
        <f t="shared" si="25"/>
        <v>1225.4399399399399</v>
      </c>
      <c r="G44" s="28">
        <f t="shared" si="25"/>
        <v>1095.4177215189873</v>
      </c>
      <c r="H44" s="66">
        <v>1782</v>
      </c>
      <c r="I44" s="113">
        <f t="shared" si="26"/>
        <v>43.612334801762117</v>
      </c>
      <c r="J44" s="66">
        <v>324609</v>
      </c>
      <c r="K44" s="16"/>
      <c r="L44" s="25">
        <f t="shared" si="27"/>
        <v>5146865</v>
      </c>
      <c r="M44" s="43">
        <v>2664</v>
      </c>
      <c r="N44" s="73">
        <f t="shared" si="29"/>
        <v>1422</v>
      </c>
      <c r="O44" s="43">
        <v>3264572</v>
      </c>
      <c r="P44" s="73">
        <f t="shared" si="28"/>
        <v>1557684</v>
      </c>
    </row>
    <row r="45" spans="1:16" x14ac:dyDescent="0.2">
      <c r="A45" s="91">
        <v>40359</v>
      </c>
      <c r="B45" s="66">
        <v>4087</v>
      </c>
      <c r="C45" s="66">
        <v>4107</v>
      </c>
      <c r="D45" s="66">
        <v>4843230</v>
      </c>
      <c r="E45" s="28">
        <f t="shared" si="24"/>
        <v>1179.2622352081812</v>
      </c>
      <c r="F45" s="28">
        <f t="shared" si="25"/>
        <v>1224.0033644859814</v>
      </c>
      <c r="G45" s="28">
        <f t="shared" si="25"/>
        <v>1095.6850558659219</v>
      </c>
      <c r="H45" s="66">
        <v>1783</v>
      </c>
      <c r="I45" s="113">
        <f t="shared" si="26"/>
        <v>43.413683954224496</v>
      </c>
      <c r="J45" s="66">
        <v>323593</v>
      </c>
      <c r="K45" s="16"/>
      <c r="L45" s="25">
        <f t="shared" si="27"/>
        <v>5166823</v>
      </c>
      <c r="M45" s="43">
        <v>2675</v>
      </c>
      <c r="N45" s="73">
        <f t="shared" si="29"/>
        <v>1432</v>
      </c>
      <c r="O45" s="43">
        <v>3274209</v>
      </c>
      <c r="P45" s="73">
        <f t="shared" si="28"/>
        <v>1569021</v>
      </c>
    </row>
    <row r="46" spans="1:16" x14ac:dyDescent="0.2">
      <c r="A46" s="91">
        <v>40451</v>
      </c>
      <c r="B46" s="66">
        <v>4107</v>
      </c>
      <c r="C46" s="66">
        <v>4127</v>
      </c>
      <c r="D46" s="66">
        <v>4851455</v>
      </c>
      <c r="E46" s="28">
        <f t="shared" si="24"/>
        <v>1175.5403440755997</v>
      </c>
      <c r="F46" s="28">
        <f t="shared" si="25"/>
        <v>1222.7854736053912</v>
      </c>
      <c r="G46" s="28">
        <f t="shared" si="25"/>
        <v>1088.8701923076924</v>
      </c>
      <c r="H46" s="66">
        <v>1886</v>
      </c>
      <c r="I46" s="113">
        <f t="shared" si="26"/>
        <v>45.699055003634598</v>
      </c>
      <c r="J46" s="66">
        <v>327374</v>
      </c>
      <c r="K46" s="16"/>
      <c r="L46" s="25">
        <f t="shared" si="27"/>
        <v>5178829</v>
      </c>
      <c r="M46" s="43">
        <v>2671</v>
      </c>
      <c r="N46" s="73">
        <f t="shared" si="29"/>
        <v>1456</v>
      </c>
      <c r="O46" s="43">
        <v>3266060</v>
      </c>
      <c r="P46" s="73">
        <f t="shared" si="28"/>
        <v>1585395</v>
      </c>
    </row>
    <row r="47" spans="1:16" x14ac:dyDescent="0.2">
      <c r="A47" s="91">
        <v>40543</v>
      </c>
      <c r="B47" s="66">
        <v>4109</v>
      </c>
      <c r="C47" s="66">
        <v>4129</v>
      </c>
      <c r="D47" s="66">
        <v>4864448</v>
      </c>
      <c r="E47" s="28">
        <f t="shared" si="24"/>
        <v>1178.1177040445627</v>
      </c>
      <c r="F47" s="28">
        <f t="shared" si="25"/>
        <v>1223.6784107946028</v>
      </c>
      <c r="G47" s="28">
        <f t="shared" si="25"/>
        <v>1094.9171800136892</v>
      </c>
      <c r="H47" s="66">
        <v>1812</v>
      </c>
      <c r="I47" s="113">
        <f t="shared" si="26"/>
        <v>43.884717849358196</v>
      </c>
      <c r="J47" s="66">
        <v>317402</v>
      </c>
      <c r="K47" s="16"/>
      <c r="L47" s="25">
        <f t="shared" si="27"/>
        <v>5181850</v>
      </c>
      <c r="M47" s="43">
        <v>2668</v>
      </c>
      <c r="N47" s="73">
        <f t="shared" si="29"/>
        <v>1461</v>
      </c>
      <c r="O47" s="43">
        <v>3264774</v>
      </c>
      <c r="P47" s="73">
        <f t="shared" si="28"/>
        <v>1599674</v>
      </c>
    </row>
    <row r="48" spans="1:16" x14ac:dyDescent="0.2">
      <c r="A48" s="91">
        <v>40633</v>
      </c>
      <c r="B48" s="66">
        <v>4138</v>
      </c>
      <c r="C48" s="66">
        <v>4159</v>
      </c>
      <c r="D48" s="66">
        <v>4886723</v>
      </c>
      <c r="E48" s="28">
        <f t="shared" si="24"/>
        <v>1174.9754748737678</v>
      </c>
      <c r="F48" s="28">
        <f t="shared" si="25"/>
        <v>1222.0607982096233</v>
      </c>
      <c r="G48" s="28">
        <f t="shared" si="25"/>
        <v>1089.5656292286874</v>
      </c>
      <c r="H48" s="66">
        <v>1966</v>
      </c>
      <c r="I48" s="113">
        <f t="shared" si="26"/>
        <v>47.270978600625149</v>
      </c>
      <c r="J48" s="66">
        <v>322499</v>
      </c>
      <c r="K48" s="16"/>
      <c r="L48" s="25">
        <f t="shared" si="27"/>
        <v>5209222</v>
      </c>
      <c r="M48" s="43">
        <v>2681</v>
      </c>
      <c r="N48" s="73">
        <f t="shared" si="29"/>
        <v>1478</v>
      </c>
      <c r="O48" s="43">
        <v>3276345</v>
      </c>
      <c r="P48" s="73">
        <f t="shared" si="28"/>
        <v>1610378</v>
      </c>
    </row>
    <row r="49" spans="1:16" x14ac:dyDescent="0.2">
      <c r="A49" s="91">
        <v>40724</v>
      </c>
      <c r="B49" s="66">
        <v>4162</v>
      </c>
      <c r="C49" s="66">
        <v>4186</v>
      </c>
      <c r="D49" s="66">
        <v>4906893</v>
      </c>
      <c r="E49" s="28">
        <f t="shared" ref="E49:E55" si="30">D49/C49</f>
        <v>1172.2152412804587</v>
      </c>
      <c r="F49" s="28">
        <f t="shared" ref="F49:G52" si="31">O49/M49</f>
        <v>1219.5139664804469</v>
      </c>
      <c r="G49" s="28">
        <f t="shared" si="31"/>
        <v>1087.6069287141906</v>
      </c>
      <c r="H49" s="66">
        <v>1851</v>
      </c>
      <c r="I49" s="113">
        <f t="shared" ref="I49:I55" si="32">H49*100/C49</f>
        <v>44.218824653607264</v>
      </c>
      <c r="J49" s="66">
        <v>322230</v>
      </c>
      <c r="K49" s="16"/>
      <c r="L49" s="25">
        <f t="shared" ref="L49:L55" si="33">D49+J49</f>
        <v>5229123</v>
      </c>
      <c r="M49" s="43">
        <v>2685</v>
      </c>
      <c r="N49" s="73">
        <f t="shared" ref="N49:N55" si="34">C49-M49</f>
        <v>1501</v>
      </c>
      <c r="O49" s="43">
        <v>3274395</v>
      </c>
      <c r="P49" s="73">
        <f t="shared" ref="P49:P55" si="35">D49-O49</f>
        <v>1632498</v>
      </c>
    </row>
    <row r="50" spans="1:16" x14ac:dyDescent="0.2">
      <c r="A50" s="91">
        <v>40816</v>
      </c>
      <c r="B50" s="66">
        <v>4179</v>
      </c>
      <c r="C50" s="66">
        <v>4198</v>
      </c>
      <c r="D50" s="66">
        <v>4922894</v>
      </c>
      <c r="E50" s="28">
        <f t="shared" si="30"/>
        <v>1172.676036207718</v>
      </c>
      <c r="F50" s="28">
        <f t="shared" si="31"/>
        <v>1220.7372344390608</v>
      </c>
      <c r="G50" s="28">
        <f t="shared" si="31"/>
        <v>1087.5617161716173</v>
      </c>
      <c r="H50" s="66">
        <v>1859</v>
      </c>
      <c r="I50" s="113">
        <f t="shared" si="32"/>
        <v>44.282991900905195</v>
      </c>
      <c r="J50" s="66">
        <v>313776</v>
      </c>
      <c r="K50" s="16"/>
      <c r="L50" s="25">
        <f t="shared" si="33"/>
        <v>5236670</v>
      </c>
      <c r="M50" s="43">
        <v>2683</v>
      </c>
      <c r="N50" s="73">
        <f t="shared" si="34"/>
        <v>1515</v>
      </c>
      <c r="O50" s="43">
        <v>3275238</v>
      </c>
      <c r="P50" s="73">
        <f t="shared" si="35"/>
        <v>1647656</v>
      </c>
    </row>
    <row r="51" spans="1:16" x14ac:dyDescent="0.2">
      <c r="A51" s="91">
        <v>40908</v>
      </c>
      <c r="B51" s="66">
        <v>4189</v>
      </c>
      <c r="C51" s="66">
        <v>4212</v>
      </c>
      <c r="D51" s="66">
        <v>4938738</v>
      </c>
      <c r="E51" s="28">
        <f t="shared" si="30"/>
        <v>1172.5398860398861</v>
      </c>
      <c r="F51" s="28">
        <f t="shared" si="31"/>
        <v>1220.8084391336818</v>
      </c>
      <c r="G51" s="28">
        <f t="shared" si="31"/>
        <v>1088.2744458930899</v>
      </c>
      <c r="H51" s="66">
        <v>1805</v>
      </c>
      <c r="I51" s="113">
        <f t="shared" si="32"/>
        <v>42.853751187084519</v>
      </c>
      <c r="J51" s="66">
        <v>295254</v>
      </c>
      <c r="K51" s="16"/>
      <c r="L51" s="25">
        <f t="shared" si="33"/>
        <v>5233992</v>
      </c>
      <c r="M51" s="43">
        <v>2678</v>
      </c>
      <c r="N51" s="73">
        <f t="shared" si="34"/>
        <v>1534</v>
      </c>
      <c r="O51" s="43">
        <v>3269325</v>
      </c>
      <c r="P51" s="73">
        <f t="shared" si="35"/>
        <v>1669413</v>
      </c>
    </row>
    <row r="52" spans="1:16" x14ac:dyDescent="0.2">
      <c r="A52" s="91">
        <v>40999</v>
      </c>
      <c r="B52" s="66">
        <v>4219</v>
      </c>
      <c r="C52" s="66">
        <v>4245</v>
      </c>
      <c r="D52" s="66">
        <v>4960314</v>
      </c>
      <c r="E52" s="28">
        <f t="shared" si="30"/>
        <v>1168.5074204946995</v>
      </c>
      <c r="F52" s="28">
        <f t="shared" si="31"/>
        <v>1216.5968819599109</v>
      </c>
      <c r="G52" s="28">
        <f t="shared" si="31"/>
        <v>1084.9787234042553</v>
      </c>
      <c r="H52" s="66">
        <v>1790</v>
      </c>
      <c r="I52" s="113">
        <f t="shared" si="32"/>
        <v>42.167255594817433</v>
      </c>
      <c r="J52" s="66">
        <v>296451</v>
      </c>
      <c r="K52" s="16"/>
      <c r="L52" s="25">
        <f t="shared" si="33"/>
        <v>5256765</v>
      </c>
      <c r="M52" s="43">
        <v>2694</v>
      </c>
      <c r="N52" s="73">
        <f t="shared" si="34"/>
        <v>1551</v>
      </c>
      <c r="O52" s="43">
        <v>3277512</v>
      </c>
      <c r="P52" s="73">
        <f t="shared" si="35"/>
        <v>1682802</v>
      </c>
    </row>
    <row r="53" spans="1:16" x14ac:dyDescent="0.2">
      <c r="A53" s="91">
        <v>41090</v>
      </c>
      <c r="B53" s="66">
        <v>4240</v>
      </c>
      <c r="C53" s="66">
        <v>4267</v>
      </c>
      <c r="D53" s="66">
        <v>4981898</v>
      </c>
      <c r="E53" s="28">
        <f t="shared" si="30"/>
        <v>1167.5411295992501</v>
      </c>
      <c r="F53" s="28">
        <f t="shared" ref="F53:G55" si="36">O53/M53</f>
        <v>1217.0545859636093</v>
      </c>
      <c r="G53" s="28">
        <f t="shared" si="36"/>
        <v>1082.8271918678527</v>
      </c>
      <c r="H53" s="66">
        <v>1717</v>
      </c>
      <c r="I53" s="113">
        <f t="shared" si="32"/>
        <v>40.239043824701199</v>
      </c>
      <c r="J53" s="66">
        <v>286877</v>
      </c>
      <c r="K53" s="16"/>
      <c r="L53" s="25">
        <f t="shared" si="33"/>
        <v>5268775</v>
      </c>
      <c r="M53" s="43">
        <v>2693</v>
      </c>
      <c r="N53" s="73">
        <f t="shared" si="34"/>
        <v>1574</v>
      </c>
      <c r="O53" s="43">
        <v>3277528</v>
      </c>
      <c r="P53" s="73">
        <f t="shared" si="35"/>
        <v>1704370</v>
      </c>
    </row>
    <row r="54" spans="1:16" x14ac:dyDescent="0.2">
      <c r="A54" s="91">
        <v>41182</v>
      </c>
      <c r="B54" s="66">
        <v>4257</v>
      </c>
      <c r="C54" s="66">
        <v>4284</v>
      </c>
      <c r="D54" s="66">
        <v>4995650</v>
      </c>
      <c r="E54" s="28">
        <f t="shared" si="30"/>
        <v>1166.1181139122316</v>
      </c>
      <c r="F54" s="28">
        <f t="shared" si="36"/>
        <v>1214.5406911928651</v>
      </c>
      <c r="G54" s="28">
        <f t="shared" si="36"/>
        <v>1084.3195229127432</v>
      </c>
      <c r="H54" s="66">
        <v>1855</v>
      </c>
      <c r="I54" s="113">
        <f t="shared" si="32"/>
        <v>43.300653594771241</v>
      </c>
      <c r="J54" s="66">
        <v>292974</v>
      </c>
      <c r="K54" s="16"/>
      <c r="L54" s="25">
        <f t="shared" si="33"/>
        <v>5288624</v>
      </c>
      <c r="M54" s="43">
        <v>2691</v>
      </c>
      <c r="N54" s="73">
        <f t="shared" si="34"/>
        <v>1593</v>
      </c>
      <c r="O54" s="43">
        <v>3268329</v>
      </c>
      <c r="P54" s="73">
        <f t="shared" si="35"/>
        <v>1727321</v>
      </c>
    </row>
    <row r="55" spans="1:16" x14ac:dyDescent="0.2">
      <c r="A55" s="91">
        <v>41274</v>
      </c>
      <c r="B55" s="66">
        <v>4279</v>
      </c>
      <c r="C55" s="66">
        <v>4299</v>
      </c>
      <c r="D55" s="66">
        <v>5005907</v>
      </c>
      <c r="E55" s="28">
        <f t="shared" si="30"/>
        <v>1164.4352174924402</v>
      </c>
      <c r="F55" s="28">
        <f t="shared" si="36"/>
        <v>1214.9441340782123</v>
      </c>
      <c r="G55" s="28">
        <f t="shared" si="36"/>
        <v>1080.4101610904586</v>
      </c>
      <c r="H55" s="66">
        <v>1726</v>
      </c>
      <c r="I55" s="113">
        <f t="shared" si="32"/>
        <v>40.148871830658294</v>
      </c>
      <c r="J55" s="66">
        <v>290941</v>
      </c>
      <c r="K55" s="16"/>
      <c r="L55" s="25">
        <f t="shared" si="33"/>
        <v>5296848</v>
      </c>
      <c r="M55" s="43">
        <v>2685</v>
      </c>
      <c r="N55" s="73">
        <f t="shared" si="34"/>
        <v>1614</v>
      </c>
      <c r="O55" s="43">
        <v>3262125</v>
      </c>
      <c r="P55" s="73">
        <f t="shared" si="35"/>
        <v>1743782</v>
      </c>
    </row>
    <row r="56" spans="1:16" x14ac:dyDescent="0.2">
      <c r="A56" s="91">
        <v>41364</v>
      </c>
      <c r="B56" s="66">
        <v>4293</v>
      </c>
      <c r="C56" s="66">
        <v>4313</v>
      </c>
      <c r="D56" s="66">
        <v>5021491</v>
      </c>
      <c r="E56" s="28">
        <f t="shared" ref="E56:E62" si="37">D56/C56</f>
        <v>1164.2687224669603</v>
      </c>
      <c r="F56" s="28">
        <f t="shared" ref="F56:G58" si="38">O56/M56</f>
        <v>1216.0406868234415</v>
      </c>
      <c r="G56" s="28">
        <f t="shared" si="38"/>
        <v>1079.3867809057529</v>
      </c>
      <c r="H56" s="66">
        <v>1772</v>
      </c>
      <c r="I56" s="113">
        <f t="shared" ref="I56:I62" si="39">H56*100/C56</f>
        <v>41.085091583584514</v>
      </c>
      <c r="J56" s="66">
        <v>276488</v>
      </c>
      <c r="K56" s="16"/>
      <c r="L56" s="25">
        <f t="shared" ref="L56:L62" si="40">D56+J56</f>
        <v>5297979</v>
      </c>
      <c r="M56" s="43">
        <v>2679</v>
      </c>
      <c r="N56" s="73">
        <f t="shared" ref="N56:N62" si="41">C56-M56</f>
        <v>1634</v>
      </c>
      <c r="O56" s="43">
        <v>3257773</v>
      </c>
      <c r="P56" s="73">
        <f t="shared" ref="P56:P62" si="42">D56-O56</f>
        <v>1763718</v>
      </c>
    </row>
    <row r="57" spans="1:16" x14ac:dyDescent="0.2">
      <c r="A57" s="91">
        <v>41455</v>
      </c>
      <c r="B57" s="66">
        <v>4316</v>
      </c>
      <c r="C57" s="66">
        <v>4336</v>
      </c>
      <c r="D57" s="66">
        <v>5038687</v>
      </c>
      <c r="E57" s="28">
        <f t="shared" si="37"/>
        <v>1162.0588099630995</v>
      </c>
      <c r="F57" s="28">
        <f t="shared" si="38"/>
        <v>1210.7111028592647</v>
      </c>
      <c r="G57" s="28">
        <f t="shared" si="38"/>
        <v>1082.3140596469873</v>
      </c>
      <c r="H57" s="66">
        <v>1697</v>
      </c>
      <c r="I57" s="113">
        <f t="shared" si="39"/>
        <v>39.137453874538743</v>
      </c>
      <c r="J57" s="66">
        <v>273903</v>
      </c>
      <c r="K57" s="16"/>
      <c r="L57" s="25">
        <f t="shared" si="40"/>
        <v>5312590</v>
      </c>
      <c r="M57" s="43">
        <v>2693</v>
      </c>
      <c r="N57" s="73">
        <f t="shared" si="41"/>
        <v>1643</v>
      </c>
      <c r="O57" s="43">
        <v>3260445</v>
      </c>
      <c r="P57" s="73">
        <f t="shared" si="42"/>
        <v>1778242</v>
      </c>
    </row>
    <row r="58" spans="1:16" x14ac:dyDescent="0.2">
      <c r="A58" s="91">
        <v>41547</v>
      </c>
      <c r="B58" s="66">
        <v>4363</v>
      </c>
      <c r="C58" s="66">
        <v>4387</v>
      </c>
      <c r="D58" s="66">
        <v>5054796</v>
      </c>
      <c r="E58" s="28">
        <f t="shared" si="37"/>
        <v>1152.2215637109641</v>
      </c>
      <c r="F58" s="28">
        <f t="shared" si="38"/>
        <v>1203.6744186046512</v>
      </c>
      <c r="G58" s="28">
        <f t="shared" si="38"/>
        <v>1069.15494636472</v>
      </c>
      <c r="H58" s="66">
        <v>1949</v>
      </c>
      <c r="I58" s="113">
        <f t="shared" si="39"/>
        <v>44.426715295190334</v>
      </c>
      <c r="J58" s="66">
        <v>298131</v>
      </c>
      <c r="K58" s="16"/>
      <c r="L58" s="25">
        <f t="shared" si="40"/>
        <v>5352927</v>
      </c>
      <c r="M58" s="43">
        <v>2709</v>
      </c>
      <c r="N58" s="73">
        <f t="shared" si="41"/>
        <v>1678</v>
      </c>
      <c r="O58" s="43">
        <v>3260754</v>
      </c>
      <c r="P58" s="73">
        <f t="shared" si="42"/>
        <v>1794042</v>
      </c>
    </row>
    <row r="59" spans="1:16" x14ac:dyDescent="0.2">
      <c r="A59" s="91">
        <v>41639</v>
      </c>
      <c r="B59" s="66">
        <v>4387</v>
      </c>
      <c r="C59" s="66">
        <v>4407</v>
      </c>
      <c r="D59" s="66">
        <v>5068597</v>
      </c>
      <c r="E59" s="28">
        <f t="shared" si="37"/>
        <v>1150.124120717041</v>
      </c>
      <c r="F59" s="28">
        <f t="shared" ref="F59:G62" si="43">O59/M59</f>
        <v>1200.4643516808276</v>
      </c>
      <c r="G59" s="28">
        <f t="shared" si="43"/>
        <v>1069.964705882353</v>
      </c>
      <c r="H59" s="66">
        <v>1840</v>
      </c>
      <c r="I59" s="113">
        <f t="shared" si="39"/>
        <v>41.751758565917861</v>
      </c>
      <c r="J59" s="66">
        <v>297969</v>
      </c>
      <c r="K59" s="16"/>
      <c r="L59" s="25">
        <f t="shared" si="40"/>
        <v>5366566</v>
      </c>
      <c r="M59" s="43">
        <v>2707</v>
      </c>
      <c r="N59" s="73">
        <f t="shared" si="41"/>
        <v>1700</v>
      </c>
      <c r="O59" s="43">
        <v>3249657</v>
      </c>
      <c r="P59" s="73">
        <f t="shared" si="42"/>
        <v>1818940</v>
      </c>
    </row>
    <row r="60" spans="1:16" x14ac:dyDescent="0.2">
      <c r="A60" s="91">
        <v>41729</v>
      </c>
      <c r="B60" s="66">
        <v>4430</v>
      </c>
      <c r="C60" s="66">
        <v>4449</v>
      </c>
      <c r="D60" s="66">
        <v>5087351</v>
      </c>
      <c r="E60" s="28">
        <f t="shared" si="37"/>
        <v>1143.4819060463026</v>
      </c>
      <c r="F60" s="28">
        <f t="shared" si="43"/>
        <v>1195.9363033873344</v>
      </c>
      <c r="G60" s="28">
        <f t="shared" si="43"/>
        <v>1061.274091171379</v>
      </c>
      <c r="H60" s="66">
        <v>1890</v>
      </c>
      <c r="I60" s="113">
        <f t="shared" si="39"/>
        <v>42.481456507080246</v>
      </c>
      <c r="J60" s="66">
        <v>312647</v>
      </c>
      <c r="K60" s="16"/>
      <c r="L60" s="25">
        <f t="shared" si="40"/>
        <v>5399998</v>
      </c>
      <c r="M60" s="43">
        <v>2716</v>
      </c>
      <c r="N60" s="73">
        <f t="shared" si="41"/>
        <v>1733</v>
      </c>
      <c r="O60" s="43">
        <v>3248163</v>
      </c>
      <c r="P60" s="73">
        <f t="shared" si="42"/>
        <v>1839188</v>
      </c>
    </row>
    <row r="61" spans="1:16" x14ac:dyDescent="0.2">
      <c r="A61" s="91">
        <v>41820</v>
      </c>
      <c r="B61" s="66">
        <v>4475</v>
      </c>
      <c r="C61" s="66">
        <v>4493</v>
      </c>
      <c r="D61" s="66">
        <v>5104083</v>
      </c>
      <c r="E61" s="28">
        <f t="shared" si="37"/>
        <v>1136.0077898953928</v>
      </c>
      <c r="F61" s="28">
        <f t="shared" si="43"/>
        <v>1189.2549523110786</v>
      </c>
      <c r="G61" s="28">
        <f t="shared" si="43"/>
        <v>1053.8619128466328</v>
      </c>
      <c r="H61" s="66">
        <v>1917</v>
      </c>
      <c r="I61" s="113">
        <f t="shared" si="39"/>
        <v>42.666369908746937</v>
      </c>
      <c r="J61" s="66">
        <v>324301</v>
      </c>
      <c r="K61" s="16"/>
      <c r="L61" s="25">
        <f t="shared" si="40"/>
        <v>5428384</v>
      </c>
      <c r="M61" s="43">
        <v>2726</v>
      </c>
      <c r="N61" s="73">
        <f t="shared" si="41"/>
        <v>1767</v>
      </c>
      <c r="O61" s="43">
        <v>3241909</v>
      </c>
      <c r="P61" s="73">
        <f t="shared" si="42"/>
        <v>1862174</v>
      </c>
    </row>
    <row r="62" spans="1:16" x14ac:dyDescent="0.2">
      <c r="A62" s="91">
        <v>41912</v>
      </c>
      <c r="B62" s="66">
        <v>4495</v>
      </c>
      <c r="C62" s="66">
        <v>4513</v>
      </c>
      <c r="D62" s="66">
        <v>5114896</v>
      </c>
      <c r="E62" s="28">
        <f t="shared" si="37"/>
        <v>1133.3693773543098</v>
      </c>
      <c r="F62" s="28">
        <f t="shared" si="43"/>
        <v>1186.529757531227</v>
      </c>
      <c r="G62" s="28">
        <f t="shared" si="43"/>
        <v>1052.5750977107762</v>
      </c>
      <c r="H62" s="66">
        <v>2001</v>
      </c>
      <c r="I62" s="113">
        <f t="shared" si="39"/>
        <v>44.338577442942608</v>
      </c>
      <c r="J62" s="66">
        <v>328370</v>
      </c>
      <c r="K62" s="16"/>
      <c r="L62" s="25">
        <f t="shared" si="40"/>
        <v>5443266</v>
      </c>
      <c r="M62" s="43">
        <v>2722</v>
      </c>
      <c r="N62" s="73">
        <f t="shared" si="41"/>
        <v>1791</v>
      </c>
      <c r="O62" s="43">
        <v>3229734</v>
      </c>
      <c r="P62" s="73">
        <f t="shared" si="42"/>
        <v>1885162</v>
      </c>
    </row>
    <row r="63" spans="1:16" x14ac:dyDescent="0.2">
      <c r="A63" s="91">
        <v>42004</v>
      </c>
      <c r="B63" s="66">
        <v>4512</v>
      </c>
      <c r="C63" s="66">
        <v>4531</v>
      </c>
      <c r="D63" s="66">
        <v>5127837</v>
      </c>
      <c r="E63" s="28">
        <f t="shared" ref="E63:E68" si="44">D63/C63</f>
        <v>1131.7230192010593</v>
      </c>
      <c r="F63" s="28">
        <f t="shared" ref="F63:G65" si="45">O63/M63</f>
        <v>1185.4952240999264</v>
      </c>
      <c r="G63" s="28">
        <f t="shared" si="45"/>
        <v>1050.812050856827</v>
      </c>
      <c r="H63" s="66">
        <v>1987</v>
      </c>
      <c r="I63" s="113">
        <f t="shared" ref="I63:I68" si="46">H63*100/C63</f>
        <v>43.853453983668068</v>
      </c>
      <c r="J63" s="66">
        <v>331663</v>
      </c>
      <c r="K63" s="16"/>
      <c r="L63" s="25">
        <f t="shared" ref="L63:L68" si="47">D63+J63</f>
        <v>5459500</v>
      </c>
      <c r="M63" s="43">
        <v>2722</v>
      </c>
      <c r="N63" s="73">
        <f t="shared" ref="N63:N68" si="48">C63-M63</f>
        <v>1809</v>
      </c>
      <c r="O63" s="43">
        <v>3226918</v>
      </c>
      <c r="P63" s="73">
        <f t="shared" ref="P63:P68" si="49">D63-O63</f>
        <v>1900919</v>
      </c>
    </row>
    <row r="64" spans="1:16" x14ac:dyDescent="0.2">
      <c r="A64" s="91">
        <v>42094</v>
      </c>
      <c r="B64" s="66">
        <v>4537</v>
      </c>
      <c r="C64" s="66">
        <v>4553</v>
      </c>
      <c r="D64" s="66">
        <v>5143339</v>
      </c>
      <c r="E64" s="28">
        <f t="shared" si="44"/>
        <v>1129.6593454864924</v>
      </c>
      <c r="F64" s="28">
        <f t="shared" si="45"/>
        <v>1183.7607025246982</v>
      </c>
      <c r="G64" s="28">
        <f t="shared" si="45"/>
        <v>1048.4181318681319</v>
      </c>
      <c r="H64" s="66">
        <v>2052</v>
      </c>
      <c r="I64" s="113">
        <f t="shared" si="46"/>
        <v>45.069185152646604</v>
      </c>
      <c r="J64" s="66">
        <v>323253</v>
      </c>
      <c r="K64" s="16"/>
      <c r="L64" s="25">
        <f t="shared" si="47"/>
        <v>5466592</v>
      </c>
      <c r="M64" s="43">
        <v>2733</v>
      </c>
      <c r="N64" s="73">
        <f t="shared" si="48"/>
        <v>1820</v>
      </c>
      <c r="O64" s="43">
        <v>3235218</v>
      </c>
      <c r="P64" s="73">
        <f t="shared" si="49"/>
        <v>1908121</v>
      </c>
    </row>
    <row r="65" spans="1:16" x14ac:dyDescent="0.2">
      <c r="A65" s="91">
        <v>42185</v>
      </c>
      <c r="B65" s="66">
        <v>4563</v>
      </c>
      <c r="C65" s="66">
        <v>4580</v>
      </c>
      <c r="D65" s="66">
        <v>5160833</v>
      </c>
      <c r="E65" s="28">
        <f t="shared" si="44"/>
        <v>1126.8194323144105</v>
      </c>
      <c r="F65" s="28">
        <f t="shared" si="45"/>
        <v>1177.8306627822287</v>
      </c>
      <c r="G65" s="28">
        <f t="shared" si="45"/>
        <v>1050.4416575790622</v>
      </c>
      <c r="H65" s="66">
        <v>1933</v>
      </c>
      <c r="I65" s="113">
        <f t="shared" si="46"/>
        <v>42.20524017467249</v>
      </c>
      <c r="J65" s="66">
        <v>325047</v>
      </c>
      <c r="K65" s="16"/>
      <c r="L65" s="25">
        <f t="shared" si="47"/>
        <v>5485880</v>
      </c>
      <c r="M65" s="43">
        <v>2746</v>
      </c>
      <c r="N65" s="73">
        <f t="shared" si="48"/>
        <v>1834</v>
      </c>
      <c r="O65" s="43">
        <v>3234323</v>
      </c>
      <c r="P65" s="73">
        <f t="shared" si="49"/>
        <v>1926510</v>
      </c>
    </row>
    <row r="66" spans="1:16" x14ac:dyDescent="0.2">
      <c r="A66" s="91">
        <v>42277</v>
      </c>
      <c r="B66" s="66">
        <v>4573</v>
      </c>
      <c r="C66" s="66">
        <v>4589</v>
      </c>
      <c r="D66" s="66">
        <v>5173875</v>
      </c>
      <c r="E66" s="28">
        <f t="shared" si="44"/>
        <v>1127.4515144911745</v>
      </c>
      <c r="F66" s="28">
        <f t="shared" ref="F66:G68" si="50">O66/M66</f>
        <v>1178.3877103145574</v>
      </c>
      <c r="G66" s="28">
        <f t="shared" si="50"/>
        <v>1052.3789757412399</v>
      </c>
      <c r="H66" s="66">
        <v>2015</v>
      </c>
      <c r="I66" s="113">
        <f t="shared" si="46"/>
        <v>43.909348441926348</v>
      </c>
      <c r="J66" s="66">
        <v>311500</v>
      </c>
      <c r="K66" s="16"/>
      <c r="L66" s="25">
        <f t="shared" si="47"/>
        <v>5485375</v>
      </c>
      <c r="M66" s="43">
        <v>2734</v>
      </c>
      <c r="N66" s="73">
        <f t="shared" si="48"/>
        <v>1855</v>
      </c>
      <c r="O66" s="43">
        <v>3221712</v>
      </c>
      <c r="P66" s="73">
        <f t="shared" si="49"/>
        <v>1952163</v>
      </c>
    </row>
    <row r="67" spans="1:16" x14ac:dyDescent="0.2">
      <c r="A67" s="91">
        <v>42369</v>
      </c>
      <c r="B67" s="66">
        <v>4585</v>
      </c>
      <c r="C67" s="66">
        <v>4602</v>
      </c>
      <c r="D67" s="66">
        <v>5188786</v>
      </c>
      <c r="E67" s="28">
        <f t="shared" si="44"/>
        <v>1127.5067362016514</v>
      </c>
      <c r="F67" s="28">
        <f t="shared" si="50"/>
        <v>1178.1596916299559</v>
      </c>
      <c r="G67" s="28">
        <f t="shared" si="50"/>
        <v>1054.0356762513311</v>
      </c>
      <c r="H67" s="66">
        <v>1890</v>
      </c>
      <c r="I67" s="113">
        <f t="shared" si="46"/>
        <v>41.069100391134292</v>
      </c>
      <c r="J67" s="66">
        <v>297699</v>
      </c>
      <c r="K67" s="16"/>
      <c r="L67" s="25">
        <f t="shared" si="47"/>
        <v>5486485</v>
      </c>
      <c r="M67" s="43">
        <v>2724</v>
      </c>
      <c r="N67" s="73">
        <f t="shared" si="48"/>
        <v>1878</v>
      </c>
      <c r="O67" s="43">
        <v>3209307</v>
      </c>
      <c r="P67" s="73">
        <f t="shared" si="49"/>
        <v>1979479</v>
      </c>
    </row>
    <row r="68" spans="1:16" x14ac:dyDescent="0.2">
      <c r="A68" s="91">
        <v>42460</v>
      </c>
      <c r="B68" s="66">
        <v>4606</v>
      </c>
      <c r="C68" s="66">
        <v>4622</v>
      </c>
      <c r="D68" s="66">
        <v>5200300</v>
      </c>
      <c r="E68" s="28">
        <f t="shared" si="44"/>
        <v>1125.118996105582</v>
      </c>
      <c r="F68" s="28">
        <f t="shared" si="50"/>
        <v>1176.0655677655677</v>
      </c>
      <c r="G68" s="28">
        <f t="shared" si="50"/>
        <v>1051.6072938689217</v>
      </c>
      <c r="H68" s="66">
        <v>1835</v>
      </c>
      <c r="I68" s="113">
        <f t="shared" si="46"/>
        <v>39.701427953266986</v>
      </c>
      <c r="J68" s="66">
        <v>289895</v>
      </c>
      <c r="K68" s="16"/>
      <c r="L68" s="25">
        <f t="shared" si="47"/>
        <v>5490195</v>
      </c>
      <c r="M68" s="43">
        <v>2730</v>
      </c>
      <c r="N68" s="73">
        <f t="shared" si="48"/>
        <v>1892</v>
      </c>
      <c r="O68" s="43">
        <v>3210659</v>
      </c>
      <c r="P68" s="73">
        <f t="shared" si="49"/>
        <v>1989641</v>
      </c>
    </row>
    <row r="69" spans="1:16" x14ac:dyDescent="0.2">
      <c r="A69" s="91">
        <v>42551</v>
      </c>
      <c r="B69" s="66">
        <v>4643</v>
      </c>
      <c r="C69" s="66">
        <v>4658</v>
      </c>
      <c r="D69" s="66">
        <v>5223144</v>
      </c>
      <c r="E69" s="28">
        <f t="shared" ref="E69:E74" si="51">D69/C69</f>
        <v>1121.3276084156291</v>
      </c>
      <c r="F69" s="28">
        <f t="shared" ref="F69:G72" si="52">O69/M69</f>
        <v>1174.0347985347985</v>
      </c>
      <c r="G69" s="28">
        <f t="shared" si="52"/>
        <v>1046.695539419087</v>
      </c>
      <c r="H69" s="66">
        <v>3043</v>
      </c>
      <c r="I69" s="113">
        <f t="shared" ref="I69:I74" si="53">H69*100/C69</f>
        <v>65.328467153284677</v>
      </c>
      <c r="J69" s="66">
        <v>247645</v>
      </c>
      <c r="K69" s="16"/>
      <c r="L69" s="25">
        <f t="shared" ref="L69:L74" si="54">D69+J69</f>
        <v>5470789</v>
      </c>
      <c r="M69" s="43">
        <v>2730</v>
      </c>
      <c r="N69" s="73">
        <f t="shared" ref="N69:N74" si="55">C69-M69</f>
        <v>1928</v>
      </c>
      <c r="O69" s="43">
        <v>3205115</v>
      </c>
      <c r="P69" s="73">
        <f t="shared" ref="P69:P74" si="56">D69-O69</f>
        <v>2018029</v>
      </c>
    </row>
    <row r="70" spans="1:16" x14ac:dyDescent="0.2">
      <c r="A70" s="91">
        <v>42643</v>
      </c>
      <c r="B70" s="66">
        <v>4664</v>
      </c>
      <c r="C70" s="66">
        <v>4686</v>
      </c>
      <c r="D70" s="66">
        <v>5225061</v>
      </c>
      <c r="E70" s="28">
        <f t="shared" si="51"/>
        <v>1115.0364916773367</v>
      </c>
      <c r="F70" s="28">
        <f t="shared" si="52"/>
        <v>1168.9682597592121</v>
      </c>
      <c r="G70" s="28">
        <f t="shared" si="52"/>
        <v>1039.0329048843187</v>
      </c>
      <c r="H70" s="66">
        <v>2712</v>
      </c>
      <c r="I70" s="113">
        <f t="shared" si="53"/>
        <v>57.874519846350829</v>
      </c>
      <c r="J70" s="66">
        <v>270029</v>
      </c>
      <c r="K70" s="16"/>
      <c r="L70" s="25">
        <f t="shared" si="54"/>
        <v>5495090</v>
      </c>
      <c r="M70" s="102">
        <v>2741</v>
      </c>
      <c r="N70" s="73">
        <f t="shared" si="55"/>
        <v>1945</v>
      </c>
      <c r="O70" s="102">
        <v>3204142</v>
      </c>
      <c r="P70" s="73">
        <f t="shared" si="56"/>
        <v>2020919</v>
      </c>
    </row>
    <row r="71" spans="1:16" x14ac:dyDescent="0.2">
      <c r="A71" s="91">
        <v>42735</v>
      </c>
      <c r="B71" s="66">
        <v>4644</v>
      </c>
      <c r="C71" s="66">
        <v>4668</v>
      </c>
      <c r="D71" s="66">
        <v>5229052</v>
      </c>
      <c r="E71" s="28">
        <f t="shared" si="51"/>
        <v>1120.1910882604971</v>
      </c>
      <c r="F71" s="28">
        <f t="shared" si="52"/>
        <v>1173.5264317180618</v>
      </c>
      <c r="G71" s="28">
        <f t="shared" si="52"/>
        <v>1045.4557613168724</v>
      </c>
      <c r="H71" s="66">
        <v>2307</v>
      </c>
      <c r="I71" s="113">
        <f t="shared" si="53"/>
        <v>49.421593830334189</v>
      </c>
      <c r="J71" s="66">
        <v>243635</v>
      </c>
      <c r="K71" s="16"/>
      <c r="L71" s="25">
        <f t="shared" si="54"/>
        <v>5472687</v>
      </c>
      <c r="M71" s="102">
        <v>2724</v>
      </c>
      <c r="N71" s="73">
        <f t="shared" si="55"/>
        <v>1944</v>
      </c>
      <c r="O71" s="102">
        <v>3196686</v>
      </c>
      <c r="P71" s="73">
        <f t="shared" si="56"/>
        <v>2032366</v>
      </c>
    </row>
    <row r="72" spans="1:16" x14ac:dyDescent="0.2">
      <c r="A72" s="91">
        <v>42825</v>
      </c>
      <c r="B72" s="66">
        <v>4666</v>
      </c>
      <c r="C72" s="66">
        <v>4689</v>
      </c>
      <c r="D72" s="66">
        <v>5231526</v>
      </c>
      <c r="E72" s="28">
        <f t="shared" si="51"/>
        <v>1115.7018554062699</v>
      </c>
      <c r="F72" s="28">
        <f t="shared" si="52"/>
        <v>1167.9634636463281</v>
      </c>
      <c r="G72" s="28">
        <f t="shared" si="52"/>
        <v>1042.423155737705</v>
      </c>
      <c r="H72" s="66">
        <v>1703</v>
      </c>
      <c r="I72" s="113">
        <f t="shared" si="53"/>
        <v>36.319044572403499</v>
      </c>
      <c r="J72" s="66">
        <v>254385</v>
      </c>
      <c r="K72" s="16"/>
      <c r="L72" s="25">
        <f t="shared" si="54"/>
        <v>5485911</v>
      </c>
      <c r="M72" s="102">
        <v>2737</v>
      </c>
      <c r="N72" s="73">
        <f t="shared" si="55"/>
        <v>1952</v>
      </c>
      <c r="O72" s="102">
        <v>3196716</v>
      </c>
      <c r="P72" s="73">
        <f t="shared" si="56"/>
        <v>2034810</v>
      </c>
    </row>
    <row r="73" spans="1:16" x14ac:dyDescent="0.2">
      <c r="A73" s="91">
        <v>42916</v>
      </c>
      <c r="B73" s="66">
        <v>4687</v>
      </c>
      <c r="C73" s="66">
        <v>4705</v>
      </c>
      <c r="D73" s="66">
        <v>5245098</v>
      </c>
      <c r="E73" s="28">
        <f t="shared" si="51"/>
        <v>1114.792348565356</v>
      </c>
      <c r="F73" s="28">
        <f t="shared" ref="F73:G75" si="57">O73/M73</f>
        <v>1172.8121100917431</v>
      </c>
      <c r="G73" s="28">
        <f t="shared" si="57"/>
        <v>1034.9419191919192</v>
      </c>
      <c r="H73" s="66">
        <v>1822</v>
      </c>
      <c r="I73" s="113">
        <f t="shared" si="53"/>
        <v>38.724760892667376</v>
      </c>
      <c r="J73" s="66">
        <v>241254</v>
      </c>
      <c r="K73" s="16"/>
      <c r="L73" s="25">
        <f t="shared" si="54"/>
        <v>5486352</v>
      </c>
      <c r="M73" s="102">
        <v>2725</v>
      </c>
      <c r="N73" s="73">
        <f t="shared" si="55"/>
        <v>1980</v>
      </c>
      <c r="O73" s="102">
        <v>3195913</v>
      </c>
      <c r="P73" s="73">
        <f t="shared" si="56"/>
        <v>2049185</v>
      </c>
    </row>
    <row r="74" spans="1:16" x14ac:dyDescent="0.2">
      <c r="A74" s="91">
        <v>43008</v>
      </c>
      <c r="B74" s="66">
        <v>4716</v>
      </c>
      <c r="C74" s="66">
        <v>4743</v>
      </c>
      <c r="D74" s="66">
        <v>5253499</v>
      </c>
      <c r="E74" s="28">
        <f t="shared" si="51"/>
        <v>1107.6320893948978</v>
      </c>
      <c r="F74" s="28">
        <f t="shared" si="57"/>
        <v>1159.4972737186479</v>
      </c>
      <c r="G74" s="28">
        <f t="shared" si="57"/>
        <v>1036.0050200803212</v>
      </c>
      <c r="H74" s="66">
        <v>2327</v>
      </c>
      <c r="I74" s="113">
        <f t="shared" si="53"/>
        <v>49.0617752477335</v>
      </c>
      <c r="J74" s="66">
        <v>252016</v>
      </c>
      <c r="K74" s="16"/>
      <c r="L74" s="25">
        <f t="shared" si="54"/>
        <v>5505515</v>
      </c>
      <c r="M74" s="102">
        <v>2751</v>
      </c>
      <c r="N74" s="73">
        <f t="shared" si="55"/>
        <v>1992</v>
      </c>
      <c r="O74" s="102">
        <v>3189777</v>
      </c>
      <c r="P74" s="73">
        <f t="shared" si="56"/>
        <v>2063722</v>
      </c>
    </row>
    <row r="75" spans="1:16" x14ac:dyDescent="0.2">
      <c r="A75" s="91">
        <v>43100</v>
      </c>
      <c r="B75" s="66">
        <v>4740</v>
      </c>
      <c r="C75" s="66">
        <v>4759</v>
      </c>
      <c r="D75" s="66">
        <v>5263176</v>
      </c>
      <c r="E75" s="28">
        <f t="shared" ref="E75:E82" si="58">D75/C75</f>
        <v>1105.9415843664635</v>
      </c>
      <c r="F75" s="28">
        <f t="shared" si="57"/>
        <v>1156.1766412767502</v>
      </c>
      <c r="G75" s="28">
        <f t="shared" si="57"/>
        <v>1036.7617382617382</v>
      </c>
      <c r="H75" s="66">
        <v>1720</v>
      </c>
      <c r="I75" s="113">
        <f t="shared" ref="I75:I82" si="59">H75*100/C75</f>
        <v>36.142046648455555</v>
      </c>
      <c r="J75" s="66">
        <v>238905</v>
      </c>
      <c r="K75" s="16"/>
      <c r="L75" s="25">
        <f t="shared" ref="L75:L82" si="60">D75+J75</f>
        <v>5502081</v>
      </c>
      <c r="M75" s="102">
        <v>2757</v>
      </c>
      <c r="N75" s="73">
        <f t="shared" ref="N75:N82" si="61">C75-M75</f>
        <v>2002</v>
      </c>
      <c r="O75" s="102">
        <v>3187579</v>
      </c>
      <c r="P75" s="73">
        <f t="shared" ref="P75:P82" si="62">D75-O75</f>
        <v>2075597</v>
      </c>
    </row>
    <row r="76" spans="1:16" x14ac:dyDescent="0.2">
      <c r="A76" s="91">
        <v>43190</v>
      </c>
      <c r="B76" s="66">
        <v>4752</v>
      </c>
      <c r="C76" s="66">
        <v>4779</v>
      </c>
      <c r="D76" s="66">
        <v>5261762</v>
      </c>
      <c r="E76" s="28">
        <f t="shared" si="58"/>
        <v>1101.0173676501361</v>
      </c>
      <c r="F76" s="28">
        <f t="shared" ref="F76:G78" si="63">O76/M76</f>
        <v>1152.548656499637</v>
      </c>
      <c r="G76" s="28">
        <f t="shared" si="63"/>
        <v>1030.9348148148149</v>
      </c>
      <c r="H76" s="66">
        <v>1593</v>
      </c>
      <c r="I76" s="113">
        <f t="shared" si="59"/>
        <v>33.333333333333336</v>
      </c>
      <c r="J76" s="66">
        <v>237978</v>
      </c>
      <c r="K76" s="16"/>
      <c r="L76" s="25">
        <f t="shared" si="60"/>
        <v>5499740</v>
      </c>
      <c r="M76" s="102">
        <v>2754</v>
      </c>
      <c r="N76" s="73">
        <f t="shared" si="61"/>
        <v>2025</v>
      </c>
      <c r="O76" s="102">
        <v>3174119</v>
      </c>
      <c r="P76" s="73">
        <f t="shared" si="62"/>
        <v>2087643</v>
      </c>
    </row>
    <row r="77" spans="1:16" x14ac:dyDescent="0.2">
      <c r="A77" s="91">
        <v>43281</v>
      </c>
      <c r="B77" s="66">
        <v>4753</v>
      </c>
      <c r="C77" s="66">
        <v>4779</v>
      </c>
      <c r="D77" s="66">
        <v>5257932</v>
      </c>
      <c r="E77" s="28">
        <f t="shared" si="58"/>
        <v>1100.2159447583176</v>
      </c>
      <c r="F77" s="28">
        <f t="shared" si="63"/>
        <v>1152.0401020780168</v>
      </c>
      <c r="G77" s="28">
        <f t="shared" si="63"/>
        <v>1030.3958742632612</v>
      </c>
      <c r="H77" s="66">
        <v>1510</v>
      </c>
      <c r="I77" s="113">
        <f t="shared" si="59"/>
        <v>31.59656831973216</v>
      </c>
      <c r="J77" s="66">
        <v>224282</v>
      </c>
      <c r="K77" s="16"/>
      <c r="L77" s="25">
        <f t="shared" si="60"/>
        <v>5482214</v>
      </c>
      <c r="M77" s="102">
        <v>2743</v>
      </c>
      <c r="N77" s="73">
        <f t="shared" si="61"/>
        <v>2036</v>
      </c>
      <c r="O77" s="102">
        <v>3160046</v>
      </c>
      <c r="P77" s="73">
        <f t="shared" si="62"/>
        <v>2097886</v>
      </c>
    </row>
    <row r="78" spans="1:16" x14ac:dyDescent="0.2">
      <c r="A78" s="91">
        <v>43373</v>
      </c>
      <c r="B78" s="66">
        <v>4773</v>
      </c>
      <c r="C78" s="66">
        <v>4807</v>
      </c>
      <c r="D78" s="66">
        <v>5268639</v>
      </c>
      <c r="E78" s="28">
        <f t="shared" si="58"/>
        <v>1096.0347410027043</v>
      </c>
      <c r="F78" s="28">
        <f t="shared" si="63"/>
        <v>1151.9813391877058</v>
      </c>
      <c r="G78" s="28">
        <f t="shared" si="63"/>
        <v>1022.311475409836</v>
      </c>
      <c r="H78" s="66">
        <v>1495</v>
      </c>
      <c r="I78" s="113">
        <f t="shared" si="59"/>
        <v>31.100478468899521</v>
      </c>
      <c r="J78" s="66">
        <v>226074</v>
      </c>
      <c r="K78" s="16"/>
      <c r="L78" s="25">
        <f t="shared" si="60"/>
        <v>5494713</v>
      </c>
      <c r="M78" s="102">
        <v>2733</v>
      </c>
      <c r="N78" s="73">
        <f t="shared" si="61"/>
        <v>2074</v>
      </c>
      <c r="O78" s="102">
        <v>3148365</v>
      </c>
      <c r="P78" s="73">
        <f t="shared" si="62"/>
        <v>2120274</v>
      </c>
    </row>
    <row r="79" spans="1:16" x14ac:dyDescent="0.2">
      <c r="A79" s="91">
        <v>43465</v>
      </c>
      <c r="B79" s="66">
        <v>4787</v>
      </c>
      <c r="C79" s="66">
        <v>4814</v>
      </c>
      <c r="D79" s="66">
        <v>5282320</v>
      </c>
      <c r="E79" s="28">
        <f t="shared" si="58"/>
        <v>1097.282924802659</v>
      </c>
      <c r="F79" s="28">
        <f t="shared" ref="F79:G82" si="64">O79/M79</f>
        <v>1152.121557106133</v>
      </c>
      <c r="G79" s="28">
        <f t="shared" si="64"/>
        <v>1025.8694404591104</v>
      </c>
      <c r="H79" s="66">
        <v>1544</v>
      </c>
      <c r="I79" s="113">
        <f t="shared" si="59"/>
        <v>32.073120066472789</v>
      </c>
      <c r="J79" s="66">
        <v>205884</v>
      </c>
      <c r="K79" s="16"/>
      <c r="L79" s="25">
        <f t="shared" si="60"/>
        <v>5488204</v>
      </c>
      <c r="M79" s="102">
        <v>2723</v>
      </c>
      <c r="N79" s="73">
        <f t="shared" si="61"/>
        <v>2091</v>
      </c>
      <c r="O79" s="102">
        <v>3137227</v>
      </c>
      <c r="P79" s="73">
        <f t="shared" si="62"/>
        <v>2145093</v>
      </c>
    </row>
    <row r="80" spans="1:16" x14ac:dyDescent="0.2">
      <c r="A80" s="91">
        <v>43555</v>
      </c>
      <c r="B80" s="66">
        <v>4810</v>
      </c>
      <c r="C80" s="66">
        <v>4833</v>
      </c>
      <c r="D80" s="66">
        <v>5282496</v>
      </c>
      <c r="E80" s="28">
        <f t="shared" si="58"/>
        <v>1093.0055865921788</v>
      </c>
      <c r="F80" s="28">
        <f t="shared" si="64"/>
        <v>1148.7025735294117</v>
      </c>
      <c r="G80" s="28">
        <f t="shared" si="64"/>
        <v>1021.3085660198769</v>
      </c>
      <c r="H80" s="66">
        <v>1424</v>
      </c>
      <c r="I80" s="113">
        <f t="shared" si="59"/>
        <v>29.46410097248086</v>
      </c>
      <c r="J80" s="66">
        <v>198758</v>
      </c>
      <c r="K80" s="16"/>
      <c r="L80" s="25">
        <f t="shared" si="60"/>
        <v>5481254</v>
      </c>
      <c r="M80" s="102">
        <v>2720</v>
      </c>
      <c r="N80" s="73">
        <f t="shared" si="61"/>
        <v>2113</v>
      </c>
      <c r="O80" s="102">
        <v>3124471</v>
      </c>
      <c r="P80" s="73">
        <f t="shared" si="62"/>
        <v>2158025</v>
      </c>
    </row>
    <row r="81" spans="1:16" x14ac:dyDescent="0.2">
      <c r="A81" s="91">
        <v>43646</v>
      </c>
      <c r="B81" s="66">
        <v>4822</v>
      </c>
      <c r="C81" s="66">
        <v>4846</v>
      </c>
      <c r="D81" s="66">
        <v>5287226</v>
      </c>
      <c r="E81" s="28">
        <f t="shared" si="58"/>
        <v>1091.0495253817583</v>
      </c>
      <c r="F81" s="28">
        <f t="shared" si="64"/>
        <v>1146.1653196179279</v>
      </c>
      <c r="G81" s="28">
        <f t="shared" si="64"/>
        <v>1020.4161958568739</v>
      </c>
      <c r="H81" s="66">
        <v>1338</v>
      </c>
      <c r="I81" s="113">
        <f t="shared" si="59"/>
        <v>27.610400330169213</v>
      </c>
      <c r="J81" s="66">
        <v>189710</v>
      </c>
      <c r="K81" s="16"/>
      <c r="L81" s="25">
        <f t="shared" si="60"/>
        <v>5476936</v>
      </c>
      <c r="M81" s="102">
        <v>2722</v>
      </c>
      <c r="N81" s="73">
        <f t="shared" si="61"/>
        <v>2124</v>
      </c>
      <c r="O81" s="102">
        <v>3119862</v>
      </c>
      <c r="P81" s="73">
        <f t="shared" si="62"/>
        <v>2167364</v>
      </c>
    </row>
    <row r="82" spans="1:16" x14ac:dyDescent="0.2">
      <c r="A82" s="91">
        <v>43738</v>
      </c>
      <c r="B82" s="66">
        <v>4838</v>
      </c>
      <c r="C82" s="66">
        <v>4866</v>
      </c>
      <c r="D82" s="66">
        <v>5279160</v>
      </c>
      <c r="E82" s="28">
        <f t="shared" si="58"/>
        <v>1084.9075215782984</v>
      </c>
      <c r="F82" s="28">
        <f t="shared" si="64"/>
        <v>1143.11610762993</v>
      </c>
      <c r="G82" s="28">
        <f t="shared" si="64"/>
        <v>1011.5587552252671</v>
      </c>
      <c r="H82" s="66">
        <v>1328</v>
      </c>
      <c r="I82" s="113">
        <f t="shared" si="59"/>
        <v>27.291409782161939</v>
      </c>
      <c r="J82" s="66">
        <v>198950</v>
      </c>
      <c r="K82" s="16"/>
      <c r="L82" s="25">
        <f t="shared" si="60"/>
        <v>5478110</v>
      </c>
      <c r="M82" s="102">
        <v>2713</v>
      </c>
      <c r="N82" s="73">
        <f t="shared" si="61"/>
        <v>2153</v>
      </c>
      <c r="O82" s="102">
        <v>3101274</v>
      </c>
      <c r="P82" s="73">
        <f t="shared" si="62"/>
        <v>2177886</v>
      </c>
    </row>
    <row r="83" spans="1:16" x14ac:dyDescent="0.2">
      <c r="A83" s="224">
        <v>43830</v>
      </c>
      <c r="B83" s="66">
        <v>4858</v>
      </c>
      <c r="C83" s="66">
        <v>4884</v>
      </c>
      <c r="D83" s="66">
        <v>5294725</v>
      </c>
      <c r="E83" s="28">
        <f t="shared" ref="E83" si="65">D83/C83</f>
        <v>1084.0960278460279</v>
      </c>
      <c r="F83" s="28">
        <f t="shared" ref="F83" si="66">O83/M83</f>
        <v>1149.5670370370369</v>
      </c>
      <c r="G83" s="28">
        <f t="shared" ref="G83" si="67">P83/N83</f>
        <v>1003.1565934065934</v>
      </c>
      <c r="H83" s="66">
        <v>1279</v>
      </c>
      <c r="I83" s="113">
        <f t="shared" ref="I83:I85" si="68">H83*100/C83</f>
        <v>26.187551187551186</v>
      </c>
      <c r="J83" s="66">
        <v>179956</v>
      </c>
      <c r="K83" s="16"/>
      <c r="L83" s="25">
        <f t="shared" ref="L83:L85" si="69">D83+J83</f>
        <v>5474681</v>
      </c>
      <c r="M83" s="102">
        <v>2700</v>
      </c>
      <c r="N83" s="73">
        <f t="shared" ref="N83:N85" si="70">C83-M83</f>
        <v>2184</v>
      </c>
      <c r="O83" s="102">
        <v>3103831</v>
      </c>
      <c r="P83" s="73">
        <f t="shared" ref="P83:P85" si="71">D83-O83</f>
        <v>2190894</v>
      </c>
    </row>
    <row r="84" spans="1:16" x14ac:dyDescent="0.2">
      <c r="A84" s="224">
        <v>43921</v>
      </c>
      <c r="B84" s="66">
        <v>4907</v>
      </c>
      <c r="C84" s="66">
        <v>4925</v>
      </c>
      <c r="D84" s="66">
        <v>5301417</v>
      </c>
      <c r="E84" s="28">
        <f t="shared" ref="E84" si="72">D84/C84</f>
        <v>1076.4298477157361</v>
      </c>
      <c r="F84" s="28">
        <f t="shared" ref="F84" si="73">O84/M84</f>
        <v>1136.2473276815333</v>
      </c>
      <c r="G84" s="28">
        <f t="shared" ref="G84" si="74">P84/N84</f>
        <v>1003.0641952983725</v>
      </c>
      <c r="H84" s="66">
        <v>1398</v>
      </c>
      <c r="I84" s="113">
        <f t="shared" ref="I84" si="75">H84*100/C84</f>
        <v>28.385786802030456</v>
      </c>
      <c r="J84" s="66">
        <v>189597</v>
      </c>
      <c r="K84" s="16"/>
      <c r="L84" s="25">
        <f t="shared" ref="L84" si="76">D84+J84</f>
        <v>5491014</v>
      </c>
      <c r="M84" s="102">
        <v>2713</v>
      </c>
      <c r="N84" s="73">
        <f t="shared" ref="N84" si="77">C84-M84</f>
        <v>2212</v>
      </c>
      <c r="O84" s="102">
        <v>3082639</v>
      </c>
      <c r="P84" s="73">
        <f t="shared" ref="P84" si="78">D84-O84</f>
        <v>2218778</v>
      </c>
    </row>
    <row r="85" spans="1:16" x14ac:dyDescent="0.2">
      <c r="A85" s="224">
        <v>44104</v>
      </c>
      <c r="B85" s="66">
        <v>4936</v>
      </c>
      <c r="C85" s="66">
        <v>4961</v>
      </c>
      <c r="D85" s="66">
        <v>5300900</v>
      </c>
      <c r="E85" s="28">
        <f t="shared" ref="E85" si="79">D85/C85</f>
        <v>1068.5144124168514</v>
      </c>
      <c r="F85" s="28">
        <f t="shared" ref="F85" si="80">O85/M85</f>
        <v>1124.6376383763838</v>
      </c>
      <c r="G85" s="28">
        <f t="shared" ref="G85" si="81">P85/N85</f>
        <v>1000.9471346068414</v>
      </c>
      <c r="H85" s="66">
        <v>1347</v>
      </c>
      <c r="I85" s="113">
        <f t="shared" si="68"/>
        <v>27.151783914533361</v>
      </c>
      <c r="J85" s="66">
        <v>186754</v>
      </c>
      <c r="K85" s="16"/>
      <c r="L85" s="25">
        <f t="shared" si="69"/>
        <v>5487654</v>
      </c>
      <c r="M85" s="102">
        <v>2710</v>
      </c>
      <c r="N85" s="73">
        <f t="shared" si="70"/>
        <v>2251</v>
      </c>
      <c r="O85" s="102">
        <v>3047768</v>
      </c>
      <c r="P85" s="73">
        <f t="shared" si="71"/>
        <v>2253132</v>
      </c>
    </row>
    <row r="86" spans="1:16" x14ac:dyDescent="0.2">
      <c r="A86" s="224">
        <v>44196</v>
      </c>
      <c r="B86" s="66">
        <v>4930</v>
      </c>
      <c r="C86" s="66">
        <v>4951</v>
      </c>
      <c r="D86" s="66">
        <v>5289341</v>
      </c>
      <c r="E86" s="28">
        <f t="shared" ref="E86" si="82">D86/C86</f>
        <v>1068.3379115330235</v>
      </c>
      <c r="F86" s="28">
        <f t="shared" ref="F86" si="83">O86/M86</f>
        <v>1127.1650557620817</v>
      </c>
      <c r="G86" s="28">
        <f t="shared" ref="G86" si="84">P86/N86</f>
        <v>998.34896063688632</v>
      </c>
      <c r="H86" s="66">
        <v>1264</v>
      </c>
      <c r="I86" s="113">
        <f t="shared" ref="I86" si="85">H86*100/C86</f>
        <v>25.530195920016158</v>
      </c>
      <c r="J86" s="66">
        <v>171752</v>
      </c>
      <c r="K86" s="16"/>
      <c r="L86" s="25">
        <f t="shared" ref="L86" si="86">D86+J86</f>
        <v>5461093</v>
      </c>
      <c r="M86" s="102">
        <v>2690</v>
      </c>
      <c r="N86" s="73">
        <f t="shared" ref="N86" si="87">C86-M86</f>
        <v>2261</v>
      </c>
      <c r="O86" s="102">
        <v>3032074</v>
      </c>
      <c r="P86" s="73">
        <f t="shared" ref="P86" si="88">D86-O86</f>
        <v>2257267</v>
      </c>
    </row>
    <row r="87" spans="1:16" x14ac:dyDescent="0.2">
      <c r="A87" s="34" t="s">
        <v>38</v>
      </c>
      <c r="B87" s="30"/>
      <c r="C87" s="30"/>
      <c r="D87" s="30"/>
      <c r="E87" s="30"/>
      <c r="F87" s="30"/>
      <c r="G87" s="30"/>
      <c r="H87" s="30"/>
      <c r="I87" s="30"/>
      <c r="J87" s="30"/>
    </row>
    <row r="88" spans="1:16" x14ac:dyDescent="0.2">
      <c r="A88" t="s">
        <v>123</v>
      </c>
      <c r="B88" s="30"/>
      <c r="C88" s="30"/>
      <c r="D88" s="30"/>
      <c r="E88" s="30"/>
      <c r="F88" s="30"/>
      <c r="G88" s="30"/>
      <c r="H88" s="30"/>
      <c r="I88" s="30"/>
      <c r="J88" s="30"/>
    </row>
    <row r="89" spans="1:16" x14ac:dyDescent="0.2">
      <c r="A89" s="34" t="s">
        <v>104</v>
      </c>
      <c r="B89" s="30"/>
      <c r="C89" s="30"/>
      <c r="D89" s="30"/>
      <c r="E89" s="30"/>
      <c r="F89" s="30"/>
      <c r="G89" s="30"/>
      <c r="H89" s="30"/>
      <c r="I89" s="30"/>
      <c r="J89" s="30"/>
    </row>
    <row r="90" spans="1:16" x14ac:dyDescent="0.2">
      <c r="A90" t="s">
        <v>122</v>
      </c>
      <c r="B90" s="30"/>
      <c r="C90" s="30"/>
      <c r="D90" s="30"/>
      <c r="E90" s="30"/>
      <c r="F90" s="30"/>
      <c r="G90" s="30"/>
      <c r="H90" s="30"/>
      <c r="I90" s="30"/>
      <c r="J90" s="30"/>
    </row>
    <row r="91" spans="1:16" x14ac:dyDescent="0.2">
      <c r="A91" s="34" t="s">
        <v>110</v>
      </c>
      <c r="B91" s="30"/>
      <c r="C91" s="30"/>
      <c r="D91" s="30"/>
      <c r="E91" s="30"/>
      <c r="F91" s="30"/>
      <c r="G91" s="30"/>
      <c r="H91" s="30"/>
      <c r="I91" s="30"/>
      <c r="J91" s="30"/>
    </row>
    <row r="92" spans="1:16" x14ac:dyDescent="0.2">
      <c r="H92" s="25"/>
    </row>
    <row r="93" spans="1:16" x14ac:dyDescent="0.2">
      <c r="H93" s="25"/>
    </row>
    <row r="95" spans="1:16" x14ac:dyDescent="0.2">
      <c r="A95"/>
    </row>
    <row r="96" spans="1:16" x14ac:dyDescent="0.2">
      <c r="A96" s="31"/>
      <c r="D96" s="22"/>
      <c r="E96" s="22"/>
      <c r="F96" s="25"/>
    </row>
    <row r="97" spans="1:6" x14ac:dyDescent="0.2">
      <c r="A97" s="25"/>
      <c r="D97" s="22"/>
      <c r="E97" s="22"/>
      <c r="F97" s="22"/>
    </row>
    <row r="98" spans="1:6" x14ac:dyDescent="0.2">
      <c r="A98" s="33"/>
      <c r="D98" s="28"/>
      <c r="E98" s="28"/>
      <c r="F98" s="29"/>
    </row>
    <row r="99" spans="1:6" x14ac:dyDescent="0.2">
      <c r="A99" s="33"/>
      <c r="D99" s="28"/>
      <c r="E99" s="28"/>
      <c r="F99" s="29"/>
    </row>
    <row r="100" spans="1:6" x14ac:dyDescent="0.2">
      <c r="A100" s="33"/>
      <c r="D100" s="28"/>
      <c r="E100" s="28"/>
      <c r="F100" s="29"/>
    </row>
    <row r="101" spans="1:6" x14ac:dyDescent="0.2">
      <c r="A101" s="24"/>
    </row>
    <row r="102" spans="1:6" x14ac:dyDescent="0.2">
      <c r="A102" s="27"/>
    </row>
  </sheetData>
  <mergeCells count="2">
    <mergeCell ref="E2:G2"/>
    <mergeCell ref="E3:G3"/>
  </mergeCells>
  <phoneticPr fontId="0" type="noConversion"/>
  <printOptions gridLines="1"/>
  <pageMargins left="0.75" right="0.75" top="1" bottom="1" header="0.5" footer="0.5"/>
  <pageSetup paperSize="9" scale="84" orientation="landscape" r:id="rId1"/>
  <headerFooter alignWithMargins="0"/>
  <colBreaks count="1" manualBreakCount="1">
    <brk id="10" max="4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0"/>
  <sheetViews>
    <sheetView zoomScaleNormal="100" workbookViewId="0">
      <pane ySplit="5" topLeftCell="A68" activePane="bottomLeft" state="frozen"/>
      <selection pane="bottomLeft" activeCell="A84" sqref="A84:E84"/>
    </sheetView>
  </sheetViews>
  <sheetFormatPr baseColWidth="10" defaultRowHeight="12.75" x14ac:dyDescent="0.2"/>
  <cols>
    <col min="1" max="1" width="12.42578125" customWidth="1"/>
    <col min="2" max="3" width="8.7109375" customWidth="1"/>
    <col min="4" max="4" width="11.7109375" customWidth="1"/>
    <col min="5" max="5" width="15.7109375" customWidth="1"/>
  </cols>
  <sheetData>
    <row r="1" spans="1:5" x14ac:dyDescent="0.2">
      <c r="A1" s="26" t="s">
        <v>311</v>
      </c>
    </row>
    <row r="2" spans="1:5" s="20" customFormat="1" x14ac:dyDescent="0.2">
      <c r="A2" s="32"/>
      <c r="B2" s="13" t="s">
        <v>10</v>
      </c>
      <c r="C2" s="13" t="s">
        <v>143</v>
      </c>
      <c r="D2" s="13" t="s">
        <v>10</v>
      </c>
      <c r="E2" s="13" t="s">
        <v>40</v>
      </c>
    </row>
    <row r="3" spans="1:5" x14ac:dyDescent="0.2">
      <c r="A3" s="32"/>
      <c r="B3" s="13" t="s">
        <v>12</v>
      </c>
      <c r="C3" s="13" t="s">
        <v>12</v>
      </c>
      <c r="D3" s="13" t="s">
        <v>43</v>
      </c>
      <c r="E3" s="13" t="s">
        <v>41</v>
      </c>
    </row>
    <row r="4" spans="1:5" x14ac:dyDescent="0.2">
      <c r="A4" s="32"/>
      <c r="B4" s="11" t="s">
        <v>51</v>
      </c>
      <c r="C4" s="11" t="s">
        <v>51</v>
      </c>
      <c r="D4" s="13" t="s">
        <v>42</v>
      </c>
      <c r="E4" s="36" t="s">
        <v>42</v>
      </c>
    </row>
    <row r="5" spans="1:5" x14ac:dyDescent="0.2">
      <c r="A5" s="95"/>
      <c r="B5" s="111" t="s">
        <v>312</v>
      </c>
      <c r="C5" s="111" t="s">
        <v>312</v>
      </c>
      <c r="D5" s="12" t="s">
        <v>313</v>
      </c>
      <c r="E5" s="96" t="s">
        <v>313</v>
      </c>
    </row>
    <row r="6" spans="1:5" ht="14.25" x14ac:dyDescent="0.2">
      <c r="A6" s="37" t="s">
        <v>36</v>
      </c>
      <c r="B6" s="39">
        <v>349</v>
      </c>
      <c r="C6" s="109">
        <f>B6*100/'Tabell 4'!B6</f>
        <v>9.0414507772020727</v>
      </c>
      <c r="D6" s="41" t="s">
        <v>101</v>
      </c>
      <c r="E6" s="35" t="s">
        <v>101</v>
      </c>
    </row>
    <row r="7" spans="1:5" ht="14.25" x14ac:dyDescent="0.2">
      <c r="A7" s="37" t="s">
        <v>102</v>
      </c>
      <c r="B7" s="39">
        <v>297</v>
      </c>
      <c r="C7" s="109">
        <f>B7*100/'Tabell 4'!B7</f>
        <v>7.6982892690513216</v>
      </c>
      <c r="D7" s="41" t="s">
        <v>101</v>
      </c>
      <c r="E7" s="35" t="s">
        <v>101</v>
      </c>
    </row>
    <row r="8" spans="1:5" ht="14.25" x14ac:dyDescent="0.2">
      <c r="A8" s="37" t="s">
        <v>103</v>
      </c>
      <c r="B8" s="39">
        <v>297</v>
      </c>
      <c r="C8" s="109">
        <f>B8*100/'Tabell 4'!B8</f>
        <v>7.6982892690513216</v>
      </c>
      <c r="D8" s="39">
        <v>265721</v>
      </c>
      <c r="E8" s="25">
        <f t="shared" ref="E8:E17" si="0">D8/B8</f>
        <v>894.68350168350173</v>
      </c>
    </row>
    <row r="9" spans="1:5" x14ac:dyDescent="0.2">
      <c r="A9" s="37">
        <v>37072</v>
      </c>
      <c r="B9" s="39">
        <v>277</v>
      </c>
      <c r="C9" s="109">
        <f>B9*100/'Tabell 4'!B9</f>
        <v>7.1098562628336754</v>
      </c>
      <c r="D9" s="39">
        <v>200705</v>
      </c>
      <c r="E9" s="25">
        <f t="shared" si="0"/>
        <v>724.5667870036101</v>
      </c>
    </row>
    <row r="10" spans="1:5" x14ac:dyDescent="0.2">
      <c r="A10" s="37">
        <v>37164</v>
      </c>
      <c r="B10" s="39">
        <v>206</v>
      </c>
      <c r="C10" s="109">
        <f>B10*100/'Tabell 4'!B10</f>
        <v>5.3147574819401449</v>
      </c>
      <c r="D10" s="39">
        <v>133814</v>
      </c>
      <c r="E10" s="25">
        <f t="shared" si="0"/>
        <v>649.5825242718447</v>
      </c>
    </row>
    <row r="11" spans="1:5" x14ac:dyDescent="0.2">
      <c r="A11" s="37">
        <v>37256</v>
      </c>
      <c r="B11" s="39">
        <v>164</v>
      </c>
      <c r="C11" s="109">
        <f>B11*100/'Tabell 4'!B11</f>
        <v>4.252009333679025</v>
      </c>
      <c r="D11" s="39">
        <v>108502</v>
      </c>
      <c r="E11" s="25">
        <f t="shared" si="0"/>
        <v>661.59756097560978</v>
      </c>
    </row>
    <row r="12" spans="1:5" x14ac:dyDescent="0.2">
      <c r="A12" s="37">
        <v>37346</v>
      </c>
      <c r="B12" s="39">
        <v>134</v>
      </c>
      <c r="C12" s="109">
        <f>B12*100/'Tabell 4'!B12</f>
        <v>3.476005188067445</v>
      </c>
      <c r="D12" s="39">
        <v>85376</v>
      </c>
      <c r="E12" s="25">
        <f t="shared" si="0"/>
        <v>637.1343283582089</v>
      </c>
    </row>
    <row r="13" spans="1:5" x14ac:dyDescent="0.2">
      <c r="A13" s="67">
        <v>37437</v>
      </c>
      <c r="B13" s="66">
        <v>133</v>
      </c>
      <c r="C13" s="109">
        <f>B13*100/'Tabell 4'!B13</f>
        <v>3.4527518172377984</v>
      </c>
      <c r="D13" s="66">
        <v>85807</v>
      </c>
      <c r="E13" s="29">
        <f t="shared" si="0"/>
        <v>645.16541353383457</v>
      </c>
    </row>
    <row r="14" spans="1:5" x14ac:dyDescent="0.2">
      <c r="A14" s="91">
        <v>37529</v>
      </c>
      <c r="B14" s="66">
        <v>120</v>
      </c>
      <c r="C14" s="109">
        <f>B14*100/'Tabell 4'!B14</f>
        <v>3.116883116883117</v>
      </c>
      <c r="D14" s="66">
        <v>78825</v>
      </c>
      <c r="E14" s="29">
        <f t="shared" si="0"/>
        <v>656.875</v>
      </c>
    </row>
    <row r="15" spans="1:5" s="16" customFormat="1" x14ac:dyDescent="0.2">
      <c r="A15" s="91">
        <v>37621</v>
      </c>
      <c r="B15" s="66">
        <v>127</v>
      </c>
      <c r="C15" s="109">
        <f>B15*100/'Tabell 4'!B15</f>
        <v>3.2944228274967573</v>
      </c>
      <c r="D15" s="66">
        <v>79563</v>
      </c>
      <c r="E15" s="29">
        <f t="shared" si="0"/>
        <v>626.48031496062993</v>
      </c>
    </row>
    <row r="16" spans="1:5" x14ac:dyDescent="0.2">
      <c r="A16" s="91">
        <v>37711</v>
      </c>
      <c r="B16" s="66">
        <v>118</v>
      </c>
      <c r="C16" s="109">
        <f>B16*100/'Tabell 4'!B16</f>
        <v>3.0649350649350651</v>
      </c>
      <c r="D16" s="66">
        <v>73949</v>
      </c>
      <c r="E16" s="29">
        <f t="shared" si="0"/>
        <v>626.68644067796606</v>
      </c>
    </row>
    <row r="17" spans="1:5" x14ac:dyDescent="0.2">
      <c r="A17" s="91">
        <v>37802</v>
      </c>
      <c r="B17" s="66">
        <v>122</v>
      </c>
      <c r="C17" s="109">
        <f>B17*100/'Tabell 4'!B17</f>
        <v>3.1704781704781704</v>
      </c>
      <c r="D17" s="66">
        <v>78100</v>
      </c>
      <c r="E17" s="29">
        <f t="shared" si="0"/>
        <v>640.1639344262295</v>
      </c>
    </row>
    <row r="18" spans="1:5" x14ac:dyDescent="0.2">
      <c r="A18" s="91">
        <v>37894</v>
      </c>
      <c r="B18" s="66">
        <v>119</v>
      </c>
      <c r="C18" s="109">
        <f>B18*100/'Tabell 4'!B18</f>
        <v>3.0885024656112119</v>
      </c>
      <c r="D18" s="66">
        <v>80666</v>
      </c>
      <c r="E18" s="29">
        <f t="shared" ref="E18:E23" si="1">D18/B18</f>
        <v>677.86554621848734</v>
      </c>
    </row>
    <row r="19" spans="1:5" x14ac:dyDescent="0.2">
      <c r="A19" s="91">
        <v>37986</v>
      </c>
      <c r="B19" s="66">
        <v>110</v>
      </c>
      <c r="C19" s="109">
        <f>B19*100/'Tabell 4'!B19</f>
        <v>2.8593709383935533</v>
      </c>
      <c r="D19" s="66">
        <v>67649</v>
      </c>
      <c r="E19" s="29">
        <f t="shared" si="1"/>
        <v>614.9909090909091</v>
      </c>
    </row>
    <row r="20" spans="1:5" x14ac:dyDescent="0.2">
      <c r="A20" s="91">
        <v>38077</v>
      </c>
      <c r="B20" s="66">
        <v>100</v>
      </c>
      <c r="C20" s="109">
        <f>B20*100/'Tabell 4'!B20</f>
        <v>2.5994281258123211</v>
      </c>
      <c r="D20" s="66">
        <v>62197</v>
      </c>
      <c r="E20" s="29">
        <f t="shared" si="1"/>
        <v>621.97</v>
      </c>
    </row>
    <row r="21" spans="1:5" x14ac:dyDescent="0.2">
      <c r="A21" s="91">
        <v>38168</v>
      </c>
      <c r="B21" s="66">
        <v>104</v>
      </c>
      <c r="C21" s="109">
        <f>B21*100/'Tabell 4'!B21</f>
        <v>2.6922081283976182</v>
      </c>
      <c r="D21" s="66">
        <v>65547</v>
      </c>
      <c r="E21" s="29">
        <f t="shared" si="1"/>
        <v>630.25961538461536</v>
      </c>
    </row>
    <row r="22" spans="1:5" x14ac:dyDescent="0.2">
      <c r="A22" s="91">
        <v>38260</v>
      </c>
      <c r="B22" s="66">
        <v>103</v>
      </c>
      <c r="C22" s="109">
        <f>B22*100/'Tabell 4'!B22</f>
        <v>2.6614987080103361</v>
      </c>
      <c r="D22" s="66">
        <v>69628</v>
      </c>
      <c r="E22" s="29">
        <f t="shared" si="1"/>
        <v>676</v>
      </c>
    </row>
    <row r="23" spans="1:5" x14ac:dyDescent="0.2">
      <c r="A23" s="91">
        <v>38352</v>
      </c>
      <c r="B23" s="66">
        <v>99</v>
      </c>
      <c r="C23" s="109">
        <f>B23*100/'Tabell 4'!B23</f>
        <v>2.5535207634769153</v>
      </c>
      <c r="D23" s="66">
        <v>65432</v>
      </c>
      <c r="E23" s="29">
        <f t="shared" si="1"/>
        <v>660.92929292929296</v>
      </c>
    </row>
    <row r="24" spans="1:5" x14ac:dyDescent="0.2">
      <c r="A24" s="91">
        <v>38442</v>
      </c>
      <c r="B24" s="66">
        <v>91</v>
      </c>
      <c r="C24" s="109">
        <f>B24*100/'Tabell 4'!B24</f>
        <v>2.3477812177502582</v>
      </c>
      <c r="D24" s="66">
        <v>62356</v>
      </c>
      <c r="E24" s="29">
        <f t="shared" ref="E24:E29" si="2">D24/B24</f>
        <v>685.23076923076928</v>
      </c>
    </row>
    <row r="25" spans="1:5" x14ac:dyDescent="0.2">
      <c r="A25" s="91">
        <v>38533</v>
      </c>
      <c r="B25" s="66">
        <v>89</v>
      </c>
      <c r="C25" s="109">
        <f>B25*100/'Tabell 4'!B25</f>
        <v>2.2926326635754766</v>
      </c>
      <c r="D25" s="66">
        <v>62136</v>
      </c>
      <c r="E25" s="29">
        <f t="shared" si="2"/>
        <v>698.15730337078651</v>
      </c>
    </row>
    <row r="26" spans="1:5" x14ac:dyDescent="0.2">
      <c r="A26" s="91">
        <v>38625</v>
      </c>
      <c r="B26" s="66">
        <v>103</v>
      </c>
      <c r="C26" s="109">
        <f>B26*100/'Tabell 4'!B26</f>
        <v>2.646454265159301</v>
      </c>
      <c r="D26" s="66">
        <v>70653</v>
      </c>
      <c r="E26" s="29">
        <f t="shared" si="2"/>
        <v>685.95145631067965</v>
      </c>
    </row>
    <row r="27" spans="1:5" x14ac:dyDescent="0.2">
      <c r="A27" s="91">
        <v>38717</v>
      </c>
      <c r="B27" s="66">
        <v>111</v>
      </c>
      <c r="C27" s="109">
        <f>B27*100/'Tabell 4'!B27</f>
        <v>2.851271512972001</v>
      </c>
      <c r="D27" s="66">
        <v>74530</v>
      </c>
      <c r="E27" s="29">
        <f t="shared" si="2"/>
        <v>671.4414414414415</v>
      </c>
    </row>
    <row r="28" spans="1:5" x14ac:dyDescent="0.2">
      <c r="A28" s="91">
        <v>38807</v>
      </c>
      <c r="B28" s="66">
        <v>93</v>
      </c>
      <c r="C28" s="109">
        <f>B28*100/'Tabell 4'!B28</f>
        <v>2.3797338792221083</v>
      </c>
      <c r="D28" s="66">
        <v>60188</v>
      </c>
      <c r="E28" s="29">
        <f t="shared" si="2"/>
        <v>647.18279569892468</v>
      </c>
    </row>
    <row r="29" spans="1:5" x14ac:dyDescent="0.2">
      <c r="A29" s="91">
        <v>38898</v>
      </c>
      <c r="B29" s="66">
        <v>88</v>
      </c>
      <c r="C29" s="109">
        <f>B29*100/'Tabell 4'!B29</f>
        <v>2.2466173091651775</v>
      </c>
      <c r="D29" s="66">
        <v>57895</v>
      </c>
      <c r="E29" s="29">
        <f t="shared" si="2"/>
        <v>657.89772727272725</v>
      </c>
    </row>
    <row r="30" spans="1:5" x14ac:dyDescent="0.2">
      <c r="A30" s="91">
        <v>38990</v>
      </c>
      <c r="B30" s="66">
        <v>81</v>
      </c>
      <c r="C30" s="109">
        <f>B30*100/'Tabell 4'!B30</f>
        <v>2.0626432391138274</v>
      </c>
      <c r="D30" s="66">
        <v>52822</v>
      </c>
      <c r="E30" s="29">
        <f t="shared" ref="E30:E35" si="3">D30/B30</f>
        <v>652.12345679012344</v>
      </c>
    </row>
    <row r="31" spans="1:5" x14ac:dyDescent="0.2">
      <c r="A31" s="91">
        <v>39082</v>
      </c>
      <c r="B31" s="66">
        <v>80</v>
      </c>
      <c r="C31" s="109">
        <f>B31*100/'Tabell 4'!B31</f>
        <v>2.030456852791878</v>
      </c>
      <c r="D31" s="66">
        <v>50493</v>
      </c>
      <c r="E31" s="29">
        <f t="shared" si="3"/>
        <v>631.16250000000002</v>
      </c>
    </row>
    <row r="32" spans="1:5" x14ac:dyDescent="0.2">
      <c r="A32" s="91">
        <v>39172</v>
      </c>
      <c r="B32" s="66">
        <v>86</v>
      </c>
      <c r="C32" s="109">
        <f>B32*100/'Tabell 4'!B32</f>
        <v>2.1755628636478623</v>
      </c>
      <c r="D32" s="66">
        <v>54990</v>
      </c>
      <c r="E32" s="29">
        <f t="shared" si="3"/>
        <v>639.41860465116281</v>
      </c>
    </row>
    <row r="33" spans="1:5" x14ac:dyDescent="0.2">
      <c r="A33" s="91">
        <v>39263</v>
      </c>
      <c r="B33" s="66">
        <v>80</v>
      </c>
      <c r="C33" s="109">
        <f>B33*100/'Tabell 4'!B33</f>
        <v>2.0202020202020203</v>
      </c>
      <c r="D33" s="66">
        <v>49902</v>
      </c>
      <c r="E33" s="29">
        <f t="shared" si="3"/>
        <v>623.77499999999998</v>
      </c>
    </row>
    <row r="34" spans="1:5" x14ac:dyDescent="0.2">
      <c r="A34" s="91">
        <v>39355</v>
      </c>
      <c r="B34" s="66">
        <v>86</v>
      </c>
      <c r="C34" s="109">
        <f>B34*100/'Tabell 4'!B34</f>
        <v>2.1635220125786163</v>
      </c>
      <c r="D34" s="66">
        <v>55897</v>
      </c>
      <c r="E34" s="29">
        <f t="shared" si="3"/>
        <v>649.96511627906978</v>
      </c>
    </row>
    <row r="35" spans="1:5" x14ac:dyDescent="0.2">
      <c r="A35" s="91">
        <v>39447</v>
      </c>
      <c r="B35" s="66">
        <v>84</v>
      </c>
      <c r="C35" s="109">
        <f>B35*100/'Tabell 4'!B35</f>
        <v>2.1036814425244179</v>
      </c>
      <c r="D35" s="66">
        <v>54087</v>
      </c>
      <c r="E35" s="29">
        <f t="shared" si="3"/>
        <v>643.89285714285711</v>
      </c>
    </row>
    <row r="36" spans="1:5" x14ac:dyDescent="0.2">
      <c r="A36" s="91">
        <v>39538</v>
      </c>
      <c r="B36" s="66">
        <v>75</v>
      </c>
      <c r="C36" s="109">
        <f>B36*100/'Tabell 4'!B36</f>
        <v>1.8693918245264207</v>
      </c>
      <c r="D36" s="66">
        <v>47709</v>
      </c>
      <c r="E36" s="29">
        <f t="shared" ref="E36:E48" si="4">D36/B36</f>
        <v>636.12</v>
      </c>
    </row>
    <row r="37" spans="1:5" x14ac:dyDescent="0.2">
      <c r="A37" s="91">
        <v>39629</v>
      </c>
      <c r="B37" s="66">
        <v>76</v>
      </c>
      <c r="C37" s="109">
        <f>B37*100/'Tabell 4'!B37</f>
        <v>1.8881987577639752</v>
      </c>
      <c r="D37" s="66">
        <v>43832</v>
      </c>
      <c r="E37" s="29">
        <f t="shared" si="4"/>
        <v>576.73684210526312</v>
      </c>
    </row>
    <row r="38" spans="1:5" x14ac:dyDescent="0.2">
      <c r="A38" s="91">
        <v>39721</v>
      </c>
      <c r="B38" s="66">
        <v>75</v>
      </c>
      <c r="C38" s="109">
        <f>B38*100/'Tabell 4'!B38</f>
        <v>1.8559762435040832</v>
      </c>
      <c r="D38" s="66">
        <v>41116</v>
      </c>
      <c r="E38" s="29">
        <f t="shared" si="4"/>
        <v>548.21333333333337</v>
      </c>
    </row>
    <row r="39" spans="1:5" x14ac:dyDescent="0.2">
      <c r="A39" s="91">
        <v>39813</v>
      </c>
      <c r="B39" s="66">
        <v>85</v>
      </c>
      <c r="C39" s="109">
        <f>B39*100/'Tabell 4'!B39</f>
        <v>2.0894788593903639</v>
      </c>
      <c r="D39" s="66">
        <v>48493</v>
      </c>
      <c r="E39" s="29">
        <f t="shared" si="4"/>
        <v>570.50588235294117</v>
      </c>
    </row>
    <row r="40" spans="1:5" x14ac:dyDescent="0.2">
      <c r="A40" s="91">
        <v>39903</v>
      </c>
      <c r="B40" s="66">
        <v>78</v>
      </c>
      <c r="C40" s="109">
        <f>B40*100/'Tabell 4'!B40</f>
        <v>1.910828025477707</v>
      </c>
      <c r="D40" s="66">
        <v>45106</v>
      </c>
      <c r="E40" s="29">
        <f t="shared" si="4"/>
        <v>578.28205128205127</v>
      </c>
    </row>
    <row r="41" spans="1:5" x14ac:dyDescent="0.2">
      <c r="A41" s="91">
        <v>39994</v>
      </c>
      <c r="B41" s="66">
        <v>71</v>
      </c>
      <c r="C41" s="109">
        <f>B41*100/'Tabell 4'!B41</f>
        <v>1.7325524646168864</v>
      </c>
      <c r="D41" s="66">
        <v>40253</v>
      </c>
      <c r="E41" s="29">
        <f t="shared" si="4"/>
        <v>566.94366197183103</v>
      </c>
    </row>
    <row r="42" spans="1:5" x14ac:dyDescent="0.2">
      <c r="A42" s="91">
        <v>40086</v>
      </c>
      <c r="B42" s="66">
        <v>72</v>
      </c>
      <c r="C42" s="109">
        <f>B42*100/'Tabell 4'!B42</f>
        <v>1.7467248908296944</v>
      </c>
      <c r="D42" s="66">
        <v>44638</v>
      </c>
      <c r="E42" s="29">
        <f t="shared" si="4"/>
        <v>619.97222222222217</v>
      </c>
    </row>
    <row r="43" spans="1:5" x14ac:dyDescent="0.2">
      <c r="A43" s="91">
        <v>40178</v>
      </c>
      <c r="B43" s="66">
        <v>69</v>
      </c>
      <c r="C43" s="109">
        <f>B43*100/'Tabell 4'!B43</f>
        <v>1.6694894749576579</v>
      </c>
      <c r="D43" s="66">
        <v>46391</v>
      </c>
      <c r="E43" s="29">
        <f t="shared" si="4"/>
        <v>672.33333333333337</v>
      </c>
    </row>
    <row r="44" spans="1:5" x14ac:dyDescent="0.2">
      <c r="A44" s="91">
        <v>40268</v>
      </c>
      <c r="B44" s="66">
        <v>72</v>
      </c>
      <c r="C44" s="109">
        <f>B44*100/'Tabell 4'!B44</f>
        <v>1.7316017316017316</v>
      </c>
      <c r="D44" s="66">
        <v>46397</v>
      </c>
      <c r="E44" s="29">
        <f t="shared" si="4"/>
        <v>644.40277777777783</v>
      </c>
    </row>
    <row r="45" spans="1:5" x14ac:dyDescent="0.2">
      <c r="A45" s="91">
        <v>40359</v>
      </c>
      <c r="B45" s="66">
        <v>64</v>
      </c>
      <c r="C45" s="109">
        <f>B45*100/'Tabell 4'!B45</f>
        <v>1.5344042196116039</v>
      </c>
      <c r="D45" s="66">
        <v>41780</v>
      </c>
      <c r="E45" s="29">
        <f t="shared" si="4"/>
        <v>652.8125</v>
      </c>
    </row>
    <row r="46" spans="1:5" x14ac:dyDescent="0.2">
      <c r="A46" s="91">
        <v>40451</v>
      </c>
      <c r="B46" s="66">
        <v>70</v>
      </c>
      <c r="C46" s="109">
        <f>B46*100/'Tabell 4'!B46</f>
        <v>1.6678579938050988</v>
      </c>
      <c r="D46" s="66">
        <v>47191</v>
      </c>
      <c r="E46" s="29">
        <f t="shared" si="4"/>
        <v>674.15714285714284</v>
      </c>
    </row>
    <row r="47" spans="1:5" x14ac:dyDescent="0.2">
      <c r="A47" s="91">
        <v>40543</v>
      </c>
      <c r="B47" s="66">
        <v>76</v>
      </c>
      <c r="C47" s="109">
        <f>B47*100/'Tabell 4'!B47</f>
        <v>1.8073721759809751</v>
      </c>
      <c r="D47" s="66">
        <v>50924</v>
      </c>
      <c r="E47" s="29">
        <f t="shared" si="4"/>
        <v>670.0526315789474</v>
      </c>
    </row>
    <row r="48" spans="1:5" x14ac:dyDescent="0.2">
      <c r="A48" s="91">
        <v>40633</v>
      </c>
      <c r="B48" s="66">
        <v>68</v>
      </c>
      <c r="C48" s="109">
        <f>B48*100/'Tabell 4'!B48</f>
        <v>1.6087059380175066</v>
      </c>
      <c r="D48" s="66">
        <v>47998</v>
      </c>
      <c r="E48" s="29">
        <f t="shared" si="4"/>
        <v>705.85294117647061</v>
      </c>
    </row>
    <row r="49" spans="1:5" x14ac:dyDescent="0.2">
      <c r="A49" s="91">
        <v>40724</v>
      </c>
      <c r="B49" s="66">
        <v>59</v>
      </c>
      <c r="C49" s="109">
        <f>B49*100/'Tabell 4'!B49</f>
        <v>1.3898704358068317</v>
      </c>
      <c r="D49" s="66">
        <v>39782</v>
      </c>
      <c r="E49" s="29">
        <f t="shared" ref="E49:E55" si="5">D49/B49</f>
        <v>674.27118644067798</v>
      </c>
    </row>
    <row r="50" spans="1:5" x14ac:dyDescent="0.2">
      <c r="A50" s="91">
        <v>40816</v>
      </c>
      <c r="B50" s="66">
        <v>61</v>
      </c>
      <c r="C50" s="109">
        <f>B50*100/'Tabell 4'!B50</f>
        <v>1.4322610941535572</v>
      </c>
      <c r="D50" s="66">
        <v>40578</v>
      </c>
      <c r="E50" s="29">
        <f t="shared" si="5"/>
        <v>665.21311475409834</v>
      </c>
    </row>
    <row r="51" spans="1:5" x14ac:dyDescent="0.2">
      <c r="A51" s="91">
        <v>40908</v>
      </c>
      <c r="B51" s="66">
        <v>60</v>
      </c>
      <c r="C51" s="109">
        <f>B51*100/'Tabell 4'!B51</f>
        <v>1.404494382022472</v>
      </c>
      <c r="D51" s="66">
        <v>41834</v>
      </c>
      <c r="E51" s="29">
        <f t="shared" si="5"/>
        <v>697.23333333333335</v>
      </c>
    </row>
    <row r="52" spans="1:5" x14ac:dyDescent="0.2">
      <c r="A52" s="91">
        <v>40999</v>
      </c>
      <c r="B52" s="66">
        <v>57</v>
      </c>
      <c r="C52" s="109">
        <f>B52*100/'Tabell 4'!B52</f>
        <v>1.3249651324965133</v>
      </c>
      <c r="D52" s="66">
        <v>37133</v>
      </c>
      <c r="E52" s="29">
        <f t="shared" si="5"/>
        <v>651.45614035087715</v>
      </c>
    </row>
    <row r="53" spans="1:5" x14ac:dyDescent="0.2">
      <c r="A53" s="91">
        <v>41090</v>
      </c>
      <c r="B53" s="66">
        <v>50</v>
      </c>
      <c r="C53" s="109">
        <f>B53*100/'Tabell 4'!B53</f>
        <v>1.1582117211026175</v>
      </c>
      <c r="D53" s="66">
        <v>31621</v>
      </c>
      <c r="E53" s="29">
        <f t="shared" si="5"/>
        <v>632.41999999999996</v>
      </c>
    </row>
    <row r="54" spans="1:5" x14ac:dyDescent="0.2">
      <c r="A54" s="91">
        <v>41182</v>
      </c>
      <c r="B54" s="66">
        <v>61</v>
      </c>
      <c r="C54" s="109">
        <f>B54*100/'Tabell 4'!B54</f>
        <v>1.4039125431530495</v>
      </c>
      <c r="D54" s="66">
        <v>35968</v>
      </c>
      <c r="E54" s="29">
        <f t="shared" si="5"/>
        <v>589.63934426229503</v>
      </c>
    </row>
    <row r="55" spans="1:5" x14ac:dyDescent="0.2">
      <c r="A55" s="91">
        <v>41274</v>
      </c>
      <c r="B55" s="66">
        <v>71</v>
      </c>
      <c r="C55" s="109">
        <f>B55*100/'Tabell 4'!B55</f>
        <v>1.6247139588100687</v>
      </c>
      <c r="D55" s="66">
        <v>42811</v>
      </c>
      <c r="E55" s="29">
        <f t="shared" si="5"/>
        <v>602.97183098591552</v>
      </c>
    </row>
    <row r="56" spans="1:5" x14ac:dyDescent="0.2">
      <c r="A56" s="91">
        <v>41364</v>
      </c>
      <c r="B56" s="66">
        <v>72</v>
      </c>
      <c r="C56" s="109">
        <f>B56*100/'Tabell 4'!B56</f>
        <v>1.6419612314709235</v>
      </c>
      <c r="D56" s="66">
        <v>42432</v>
      </c>
      <c r="E56" s="29">
        <f t="shared" ref="E56:E61" si="6">D56/B56</f>
        <v>589.33333333333337</v>
      </c>
    </row>
    <row r="57" spans="1:5" x14ac:dyDescent="0.2">
      <c r="A57" s="91">
        <v>41455</v>
      </c>
      <c r="B57" s="66">
        <v>72</v>
      </c>
      <c r="C57" s="109">
        <f>B57*100/'Tabell 4'!B57</f>
        <v>1.633393829401089</v>
      </c>
      <c r="D57" s="66">
        <v>39277</v>
      </c>
      <c r="E57" s="29">
        <f t="shared" si="6"/>
        <v>545.51388888888891</v>
      </c>
    </row>
    <row r="58" spans="1:5" x14ac:dyDescent="0.2">
      <c r="A58" s="91">
        <v>41547</v>
      </c>
      <c r="B58" s="66">
        <v>66</v>
      </c>
      <c r="C58" s="109">
        <f>B58*100/'Tabell 4'!B58</f>
        <v>1.4821468672804852</v>
      </c>
      <c r="D58" s="66">
        <v>38223</v>
      </c>
      <c r="E58" s="29">
        <f t="shared" si="6"/>
        <v>579.13636363636363</v>
      </c>
    </row>
    <row r="59" spans="1:5" x14ac:dyDescent="0.2">
      <c r="A59" s="91">
        <v>41639</v>
      </c>
      <c r="B59" s="66">
        <v>67</v>
      </c>
      <c r="C59" s="109">
        <f>B59*100/'Tabell 4'!B59</f>
        <v>1.4975413500223513</v>
      </c>
      <c r="D59" s="66">
        <v>40577</v>
      </c>
      <c r="E59" s="29">
        <f t="shared" si="6"/>
        <v>605.62686567164178</v>
      </c>
    </row>
    <row r="60" spans="1:5" x14ac:dyDescent="0.2">
      <c r="A60" s="91">
        <v>41729</v>
      </c>
      <c r="B60" s="66">
        <v>67</v>
      </c>
      <c r="C60" s="109">
        <f>B60*100/'Tabell 4'!B60</f>
        <v>1.4836138175376439</v>
      </c>
      <c r="D60" s="66">
        <v>38298</v>
      </c>
      <c r="E60" s="29">
        <f t="shared" si="6"/>
        <v>571.61194029850742</v>
      </c>
    </row>
    <row r="61" spans="1:5" x14ac:dyDescent="0.2">
      <c r="A61" s="91">
        <v>41820</v>
      </c>
      <c r="B61" s="66">
        <v>58</v>
      </c>
      <c r="C61" s="109">
        <f>B61*100/'Tabell 4'!B61</f>
        <v>1.2744451768842013</v>
      </c>
      <c r="D61" s="66">
        <v>36606</v>
      </c>
      <c r="E61" s="29">
        <f t="shared" si="6"/>
        <v>631.13793103448279</v>
      </c>
    </row>
    <row r="62" spans="1:5" x14ac:dyDescent="0.2">
      <c r="A62" s="91">
        <v>41912</v>
      </c>
      <c r="B62" s="66">
        <v>63</v>
      </c>
      <c r="C62" s="109">
        <f>B62*100/'Tabell 4'!B62</f>
        <v>1.3767482517482517</v>
      </c>
      <c r="D62" s="66">
        <v>40088</v>
      </c>
      <c r="E62" s="29">
        <f t="shared" ref="E62:E67" si="7">D62/B62</f>
        <v>636.31746031746036</v>
      </c>
    </row>
    <row r="63" spans="1:5" x14ac:dyDescent="0.2">
      <c r="A63" s="91">
        <v>42004</v>
      </c>
      <c r="B63" s="66">
        <v>67</v>
      </c>
      <c r="C63" s="109">
        <f>B63*100/'Tabell 4'!B63</f>
        <v>1.4571552849064811</v>
      </c>
      <c r="D63" s="66">
        <v>41296</v>
      </c>
      <c r="E63" s="29">
        <f t="shared" si="7"/>
        <v>616.35820895522386</v>
      </c>
    </row>
    <row r="64" spans="1:5" x14ac:dyDescent="0.2">
      <c r="A64" s="91">
        <v>42094</v>
      </c>
      <c r="B64" s="66">
        <v>67</v>
      </c>
      <c r="C64" s="109">
        <f>B64*100/'Tabell 4'!B64</f>
        <v>1.4502164502164503</v>
      </c>
      <c r="D64" s="66">
        <v>38961</v>
      </c>
      <c r="E64" s="29">
        <f t="shared" si="7"/>
        <v>581.50746268656712</v>
      </c>
    </row>
    <row r="65" spans="1:5" x14ac:dyDescent="0.2">
      <c r="A65" s="91">
        <v>42185</v>
      </c>
      <c r="B65" s="66">
        <v>57</v>
      </c>
      <c r="C65" s="109">
        <f>B65*100/'Tabell 4'!B65</f>
        <v>1.2292430450722449</v>
      </c>
      <c r="D65" s="66">
        <v>32958</v>
      </c>
      <c r="E65" s="29">
        <f t="shared" si="7"/>
        <v>578.21052631578948</v>
      </c>
    </row>
    <row r="66" spans="1:5" x14ac:dyDescent="0.2">
      <c r="A66" s="91">
        <v>42277</v>
      </c>
      <c r="B66" s="66">
        <v>55</v>
      </c>
      <c r="C66" s="109">
        <f>B66*100/'Tabell 4'!B66</f>
        <v>1.1843238587424634</v>
      </c>
      <c r="D66" s="66">
        <v>31610</v>
      </c>
      <c r="E66" s="29">
        <f t="shared" si="7"/>
        <v>574.72727272727275</v>
      </c>
    </row>
    <row r="67" spans="1:5" x14ac:dyDescent="0.2">
      <c r="A67" s="91">
        <v>42369</v>
      </c>
      <c r="B67" s="66">
        <v>52</v>
      </c>
      <c r="C67" s="109">
        <f>B67*100/'Tabell 4'!B67</f>
        <v>1.1173184357541899</v>
      </c>
      <c r="D67" s="66">
        <v>30985</v>
      </c>
      <c r="E67" s="29">
        <f t="shared" si="7"/>
        <v>595.86538461538464</v>
      </c>
    </row>
    <row r="68" spans="1:5" x14ac:dyDescent="0.2">
      <c r="A68" s="91">
        <v>42460</v>
      </c>
      <c r="B68" s="66">
        <v>57</v>
      </c>
      <c r="C68" s="109">
        <f>B68*100/'Tabell 4'!B68</f>
        <v>1.2179487179487178</v>
      </c>
      <c r="D68" s="66">
        <v>33993</v>
      </c>
      <c r="E68" s="29">
        <f t="shared" ref="E68:E73" si="8">D68/B68</f>
        <v>596.36842105263156</v>
      </c>
    </row>
    <row r="69" spans="1:5" x14ac:dyDescent="0.2">
      <c r="A69" s="91">
        <v>42551</v>
      </c>
      <c r="B69" s="66">
        <v>46</v>
      </c>
      <c r="C69" s="109">
        <f>B69*100/'Tabell 4'!B69</f>
        <v>0.97789115646258506</v>
      </c>
      <c r="D69" s="66">
        <v>25967</v>
      </c>
      <c r="E69" s="29">
        <f t="shared" si="8"/>
        <v>564.5</v>
      </c>
    </row>
    <row r="70" spans="1:5" x14ac:dyDescent="0.2">
      <c r="A70" s="91">
        <v>42643</v>
      </c>
      <c r="B70" s="66">
        <v>75</v>
      </c>
      <c r="C70" s="109">
        <f>B70*100/'Tabell 4'!B70</f>
        <v>1.575299306868305</v>
      </c>
      <c r="D70" s="66">
        <v>39392</v>
      </c>
      <c r="E70" s="29">
        <f t="shared" si="8"/>
        <v>525.22666666666669</v>
      </c>
    </row>
    <row r="71" spans="1:5" x14ac:dyDescent="0.2">
      <c r="A71" s="91">
        <v>42735</v>
      </c>
      <c r="B71" s="66">
        <v>78</v>
      </c>
      <c r="C71" s="109">
        <f>B71*100/'Tabell 4'!B71</f>
        <v>1.6434892541087232</v>
      </c>
      <c r="D71" s="66">
        <v>45388</v>
      </c>
      <c r="E71" s="29">
        <f t="shared" si="8"/>
        <v>581.89743589743591</v>
      </c>
    </row>
    <row r="72" spans="1:5" x14ac:dyDescent="0.2">
      <c r="A72" s="91">
        <v>42825</v>
      </c>
      <c r="B72" s="66">
        <v>84</v>
      </c>
      <c r="C72" s="109">
        <f>B72*100/'Tabell 4'!B72</f>
        <v>1.759899434318039</v>
      </c>
      <c r="D72" s="66">
        <v>46624</v>
      </c>
      <c r="E72" s="29">
        <f t="shared" si="8"/>
        <v>555.04761904761904</v>
      </c>
    </row>
    <row r="73" spans="1:5" x14ac:dyDescent="0.2">
      <c r="A73" s="91">
        <v>42916</v>
      </c>
      <c r="B73" s="66">
        <v>83</v>
      </c>
      <c r="C73" s="109">
        <f>B73*100/'Tabell 4'!B73</f>
        <v>1.7335004177109441</v>
      </c>
      <c r="D73" s="66">
        <v>45527</v>
      </c>
      <c r="E73" s="29">
        <f t="shared" si="8"/>
        <v>548.51807228915663</v>
      </c>
    </row>
    <row r="74" spans="1:5" x14ac:dyDescent="0.2">
      <c r="A74" s="91">
        <v>43008</v>
      </c>
      <c r="B74" s="66">
        <v>73</v>
      </c>
      <c r="C74" s="109">
        <f>B74*100/'Tabell 4'!B74</f>
        <v>1.5157807308970099</v>
      </c>
      <c r="D74" s="66">
        <v>35685</v>
      </c>
      <c r="E74" s="29">
        <f t="shared" ref="E74:E79" si="9">D74/B74</f>
        <v>488.83561643835617</v>
      </c>
    </row>
    <row r="75" spans="1:5" x14ac:dyDescent="0.2">
      <c r="A75" s="91">
        <v>43100</v>
      </c>
      <c r="B75" s="66">
        <v>69</v>
      </c>
      <c r="C75" s="109">
        <f>B75*100/'Tabell 4'!B75</f>
        <v>1.4291632145816073</v>
      </c>
      <c r="D75" s="66">
        <v>37733</v>
      </c>
      <c r="E75" s="29">
        <f t="shared" si="9"/>
        <v>546.85507246376812</v>
      </c>
    </row>
    <row r="76" spans="1:5" x14ac:dyDescent="0.2">
      <c r="A76" s="91">
        <v>43190</v>
      </c>
      <c r="B76" s="66">
        <v>80</v>
      </c>
      <c r="C76" s="109">
        <f>B76*100/'Tabell 4'!B76</f>
        <v>1.6464293064416546</v>
      </c>
      <c r="D76" s="66">
        <v>46105</v>
      </c>
      <c r="E76" s="29">
        <f t="shared" si="9"/>
        <v>576.3125</v>
      </c>
    </row>
    <row r="77" spans="1:5" x14ac:dyDescent="0.2">
      <c r="A77" s="91">
        <v>43281</v>
      </c>
      <c r="B77" s="66">
        <v>93</v>
      </c>
      <c r="C77" s="109">
        <f>B77*100/'Tabell 4'!B77</f>
        <v>1.9088669950738917</v>
      </c>
      <c r="D77" s="66">
        <v>58850</v>
      </c>
      <c r="E77" s="29">
        <f t="shared" si="9"/>
        <v>632.79569892473114</v>
      </c>
    </row>
    <row r="78" spans="1:5" x14ac:dyDescent="0.2">
      <c r="A78" s="91">
        <v>43373</v>
      </c>
      <c r="B78" s="66">
        <v>100</v>
      </c>
      <c r="C78" s="109">
        <f>B78*100/'Tabell 4'!B78</f>
        <v>2.037905033625433</v>
      </c>
      <c r="D78" s="66">
        <v>58060</v>
      </c>
      <c r="E78" s="29">
        <f t="shared" si="9"/>
        <v>580.6</v>
      </c>
    </row>
    <row r="79" spans="1:5" x14ac:dyDescent="0.2">
      <c r="A79" s="91">
        <v>43465</v>
      </c>
      <c r="B79" s="66">
        <v>100</v>
      </c>
      <c r="C79" s="109">
        <f>B79*100/'Tabell 4'!B79</f>
        <v>2.035002035002035</v>
      </c>
      <c r="D79" s="66">
        <v>55042</v>
      </c>
      <c r="E79" s="29">
        <f t="shared" si="9"/>
        <v>550.41999999999996</v>
      </c>
    </row>
    <row r="80" spans="1:5" x14ac:dyDescent="0.2">
      <c r="A80" s="91">
        <v>43555</v>
      </c>
      <c r="B80" s="66">
        <v>111</v>
      </c>
      <c r="C80" s="109">
        <f>B80*100/'Tabell 4'!B80</f>
        <v>2.2451456310679609</v>
      </c>
      <c r="D80" s="66">
        <v>59002</v>
      </c>
      <c r="E80" s="29">
        <f t="shared" ref="E80:E82" si="10">D80/B80</f>
        <v>531.54954954954951</v>
      </c>
    </row>
    <row r="81" spans="1:5" x14ac:dyDescent="0.2">
      <c r="A81" s="91">
        <v>43646</v>
      </c>
      <c r="B81" s="66">
        <v>119</v>
      </c>
      <c r="C81" s="109">
        <f>B81*100/'Tabell 4'!B81</f>
        <v>2.3967774420946628</v>
      </c>
      <c r="D81" s="66">
        <v>62792</v>
      </c>
      <c r="E81" s="29">
        <f t="shared" si="10"/>
        <v>527.66386554621852</v>
      </c>
    </row>
    <row r="82" spans="1:5" x14ac:dyDescent="0.2">
      <c r="A82" s="91">
        <v>43738</v>
      </c>
      <c r="B82" s="66">
        <v>135</v>
      </c>
      <c r="C82" s="109">
        <f>B82*100/'Tabell 4'!B82</f>
        <v>2.6994601079784042</v>
      </c>
      <c r="D82" s="66">
        <v>79167</v>
      </c>
      <c r="E82" s="29">
        <f t="shared" si="10"/>
        <v>586.42222222222222</v>
      </c>
    </row>
    <row r="83" spans="1:5" x14ac:dyDescent="0.2">
      <c r="A83" s="91">
        <v>43830</v>
      </c>
      <c r="B83" s="66">
        <v>126</v>
      </c>
      <c r="C83" s="109">
        <f>B83*100/'Tabell 4'!B83</f>
        <v>2.5149700598802394</v>
      </c>
      <c r="D83" s="66">
        <v>76057</v>
      </c>
      <c r="E83" s="29">
        <f t="shared" ref="E83:E86" si="11">D83/B83</f>
        <v>603.6269841269841</v>
      </c>
    </row>
    <row r="84" spans="1:5" x14ac:dyDescent="0.2">
      <c r="A84" s="91">
        <v>43921</v>
      </c>
      <c r="B84" s="66">
        <v>137</v>
      </c>
      <c r="C84" s="109">
        <f>B84*100/'Tabell 4'!B85</f>
        <v>2.681017612524462</v>
      </c>
      <c r="D84" s="66">
        <v>80525</v>
      </c>
      <c r="E84" s="29">
        <f t="shared" ref="E84" si="12">D84/B84</f>
        <v>587.77372262773724</v>
      </c>
    </row>
    <row r="85" spans="1:5" x14ac:dyDescent="0.2">
      <c r="A85" s="91">
        <v>44104</v>
      </c>
      <c r="B85" s="66">
        <v>149</v>
      </c>
      <c r="C85" s="109">
        <f>B85*100/'Tabell 4'!B85</f>
        <v>2.9158512720156557</v>
      </c>
      <c r="D85" s="66">
        <v>88567</v>
      </c>
      <c r="E85" s="29">
        <f t="shared" si="11"/>
        <v>594.40939597315435</v>
      </c>
    </row>
    <row r="86" spans="1:5" x14ac:dyDescent="0.2">
      <c r="A86" s="91">
        <v>44196</v>
      </c>
      <c r="B86" s="66">
        <v>182</v>
      </c>
      <c r="C86" s="109">
        <f>B86*100/'Tabell 4'!B86</f>
        <v>3.5456847847262809</v>
      </c>
      <c r="D86" s="66">
        <v>110090</v>
      </c>
      <c r="E86" s="29">
        <f t="shared" si="11"/>
        <v>604.8901098901099</v>
      </c>
    </row>
    <row r="87" spans="1:5" x14ac:dyDescent="0.2">
      <c r="A87" s="34" t="s">
        <v>38</v>
      </c>
    </row>
    <row r="88" spans="1:5" x14ac:dyDescent="0.2">
      <c r="A88" t="s">
        <v>123</v>
      </c>
    </row>
    <row r="89" spans="1:5" x14ac:dyDescent="0.2">
      <c r="A89" s="34" t="s">
        <v>104</v>
      </c>
    </row>
    <row r="90" spans="1:5" x14ac:dyDescent="0.2">
      <c r="A90" s="34" t="s">
        <v>105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3"/>
  <sheetViews>
    <sheetView workbookViewId="0">
      <pane ySplit="5" topLeftCell="A48" activePane="bottomLeft" state="frozen"/>
      <selection pane="bottomLeft" activeCell="A84" sqref="A84:G84"/>
    </sheetView>
  </sheetViews>
  <sheetFormatPr baseColWidth="10" defaultRowHeight="12.75" x14ac:dyDescent="0.2"/>
  <cols>
    <col min="1" max="1" width="11.5703125" customWidth="1"/>
    <col min="2" max="2" width="10.42578125" customWidth="1"/>
    <col min="3" max="3" width="15.85546875" customWidth="1"/>
    <col min="4" max="4" width="15.140625" customWidth="1"/>
    <col min="5" max="6" width="10.140625" customWidth="1"/>
    <col min="7" max="7" width="11.140625" customWidth="1"/>
    <col min="8" max="9" width="9.7109375" customWidth="1"/>
  </cols>
  <sheetData>
    <row r="1" spans="1:10" x14ac:dyDescent="0.2">
      <c r="A1" s="26" t="s">
        <v>314</v>
      </c>
    </row>
    <row r="2" spans="1:10" x14ac:dyDescent="0.2">
      <c r="A2" s="26"/>
      <c r="E2" s="13"/>
      <c r="F2" s="13"/>
    </row>
    <row r="3" spans="1:10" x14ac:dyDescent="0.2">
      <c r="A3" s="32"/>
      <c r="D3" s="13" t="s">
        <v>40</v>
      </c>
      <c r="G3" s="13" t="s">
        <v>77</v>
      </c>
    </row>
    <row r="4" spans="1:10" x14ac:dyDescent="0.2">
      <c r="A4" s="32"/>
      <c r="B4" s="13"/>
      <c r="C4" s="13" t="s">
        <v>4</v>
      </c>
      <c r="D4" s="13" t="s">
        <v>41</v>
      </c>
      <c r="E4" s="21" t="s">
        <v>13</v>
      </c>
      <c r="F4" s="21" t="s">
        <v>186</v>
      </c>
      <c r="G4" s="21" t="s">
        <v>78</v>
      </c>
    </row>
    <row r="5" spans="1:10" x14ac:dyDescent="0.2">
      <c r="A5" s="95"/>
      <c r="B5" s="12" t="s">
        <v>22</v>
      </c>
      <c r="C5" s="96" t="s">
        <v>206</v>
      </c>
      <c r="D5" s="96" t="s">
        <v>206</v>
      </c>
      <c r="E5" s="12" t="s">
        <v>12</v>
      </c>
      <c r="F5" s="12" t="s">
        <v>12</v>
      </c>
      <c r="G5" s="12" t="s">
        <v>207</v>
      </c>
    </row>
    <row r="6" spans="1:10" ht="14.25" x14ac:dyDescent="0.2">
      <c r="A6" s="37" t="s">
        <v>36</v>
      </c>
      <c r="B6" s="39">
        <v>3860</v>
      </c>
      <c r="C6" s="41" t="s">
        <v>101</v>
      </c>
      <c r="D6" s="35" t="s">
        <v>101</v>
      </c>
      <c r="E6" s="41" t="s">
        <v>101</v>
      </c>
      <c r="F6" s="75" t="s">
        <v>101</v>
      </c>
      <c r="G6" s="41" t="s">
        <v>101</v>
      </c>
    </row>
    <row r="7" spans="1:10" ht="14.25" x14ac:dyDescent="0.2">
      <c r="A7" s="37" t="s">
        <v>102</v>
      </c>
      <c r="B7" s="39">
        <v>3858</v>
      </c>
      <c r="C7" s="41" t="s">
        <v>101</v>
      </c>
      <c r="D7" s="35" t="s">
        <v>101</v>
      </c>
      <c r="E7" s="41" t="s">
        <v>101</v>
      </c>
      <c r="F7" s="75" t="s">
        <v>101</v>
      </c>
      <c r="G7" s="41" t="s">
        <v>101</v>
      </c>
    </row>
    <row r="8" spans="1:10" ht="14.25" x14ac:dyDescent="0.2">
      <c r="A8" s="37" t="s">
        <v>103</v>
      </c>
      <c r="B8" s="39">
        <v>3858</v>
      </c>
      <c r="C8" s="39">
        <v>4443361</v>
      </c>
      <c r="D8" s="25">
        <f t="shared" ref="D8:D17" si="0">C8/B8</f>
        <v>1151.7265422498704</v>
      </c>
      <c r="E8" s="39">
        <v>2576</v>
      </c>
      <c r="F8" s="109">
        <f>E8*100/B8</f>
        <v>66.770347330222918</v>
      </c>
      <c r="G8" s="41" t="s">
        <v>39</v>
      </c>
    </row>
    <row r="9" spans="1:10" x14ac:dyDescent="0.2">
      <c r="A9" s="37">
        <v>37072</v>
      </c>
      <c r="B9" s="39">
        <v>3896</v>
      </c>
      <c r="C9" s="39">
        <v>4451404</v>
      </c>
      <c r="D9" s="25">
        <f t="shared" si="0"/>
        <v>1142.5574948665299</v>
      </c>
      <c r="E9" s="39">
        <v>2398</v>
      </c>
      <c r="F9" s="109">
        <f t="shared" ref="F9:F22" si="1">E9*100/B9</f>
        <v>61.550308008213555</v>
      </c>
      <c r="G9" s="39">
        <v>621617</v>
      </c>
    </row>
    <row r="10" spans="1:10" x14ac:dyDescent="0.2">
      <c r="A10" s="37">
        <v>37164</v>
      </c>
      <c r="B10" s="39">
        <v>3876</v>
      </c>
      <c r="C10" s="39">
        <v>4469734</v>
      </c>
      <c r="D10" s="25">
        <f t="shared" si="0"/>
        <v>1153.1821465428277</v>
      </c>
      <c r="E10" s="39">
        <v>2192</v>
      </c>
      <c r="F10" s="109">
        <f t="shared" si="1"/>
        <v>56.553147574819398</v>
      </c>
      <c r="G10" s="39">
        <v>612532</v>
      </c>
    </row>
    <row r="11" spans="1:10" x14ac:dyDescent="0.2">
      <c r="A11" s="37">
        <v>37256</v>
      </c>
      <c r="B11" s="39">
        <v>3857</v>
      </c>
      <c r="C11" s="39">
        <v>4481000</v>
      </c>
      <c r="D11" s="25">
        <f t="shared" si="0"/>
        <v>1161.7837697692507</v>
      </c>
      <c r="E11" s="39">
        <v>2149</v>
      </c>
      <c r="F11" s="109">
        <f t="shared" si="1"/>
        <v>55.716878402903809</v>
      </c>
      <c r="G11" s="39">
        <v>583222</v>
      </c>
    </row>
    <row r="12" spans="1:10" x14ac:dyDescent="0.2">
      <c r="A12" s="37">
        <v>37346</v>
      </c>
      <c r="B12" s="39">
        <v>3855</v>
      </c>
      <c r="C12" s="39">
        <v>4500190</v>
      </c>
      <c r="D12" s="25">
        <f t="shared" si="0"/>
        <v>1167.3644617380025</v>
      </c>
      <c r="E12" s="39">
        <v>2048</v>
      </c>
      <c r="F12" s="109">
        <f t="shared" si="1"/>
        <v>53.125810635538265</v>
      </c>
      <c r="G12" s="39">
        <v>547239</v>
      </c>
    </row>
    <row r="13" spans="1:10" x14ac:dyDescent="0.2">
      <c r="A13" s="67">
        <v>37437</v>
      </c>
      <c r="B13" s="66">
        <v>3852</v>
      </c>
      <c r="C13" s="66">
        <v>4510009</v>
      </c>
      <c r="D13" s="29">
        <f t="shared" si="0"/>
        <v>1170.8226895119419</v>
      </c>
      <c r="E13" s="39">
        <v>2030</v>
      </c>
      <c r="F13" s="109">
        <f t="shared" si="1"/>
        <v>52.69989615784008</v>
      </c>
      <c r="G13" s="39">
        <v>533108</v>
      </c>
    </row>
    <row r="14" spans="1:10" x14ac:dyDescent="0.2">
      <c r="A14" s="91">
        <v>37529</v>
      </c>
      <c r="B14" s="66">
        <v>3850</v>
      </c>
      <c r="C14" s="66">
        <v>4518007</v>
      </c>
      <c r="D14" s="29">
        <f t="shared" si="0"/>
        <v>1173.5083116883118</v>
      </c>
      <c r="E14" s="43">
        <v>2333</v>
      </c>
      <c r="F14" s="109">
        <f t="shared" si="1"/>
        <v>60.597402597402599</v>
      </c>
      <c r="G14" s="43">
        <v>527719</v>
      </c>
    </row>
    <row r="15" spans="1:10" s="16" customFormat="1" x14ac:dyDescent="0.2">
      <c r="A15" s="91">
        <v>37621</v>
      </c>
      <c r="B15" s="66">
        <v>3855</v>
      </c>
      <c r="C15" s="66">
        <v>4531094</v>
      </c>
      <c r="D15" s="29">
        <f t="shared" si="0"/>
        <v>1175.3810635538262</v>
      </c>
      <c r="E15" s="43">
        <v>2194</v>
      </c>
      <c r="F15" s="109">
        <f t="shared" si="1"/>
        <v>56.913099870298311</v>
      </c>
      <c r="G15" s="43">
        <v>502226</v>
      </c>
      <c r="I15"/>
      <c r="J15"/>
    </row>
    <row r="16" spans="1:10" x14ac:dyDescent="0.2">
      <c r="A16" s="91">
        <v>37711</v>
      </c>
      <c r="B16" s="66">
        <v>3850</v>
      </c>
      <c r="C16" s="66">
        <v>4538729</v>
      </c>
      <c r="D16" s="29">
        <f t="shared" si="0"/>
        <v>1178.8906493506493</v>
      </c>
      <c r="E16" s="43">
        <v>2137</v>
      </c>
      <c r="F16" s="109">
        <f t="shared" si="1"/>
        <v>55.506493506493506</v>
      </c>
      <c r="G16" s="43">
        <v>491957</v>
      </c>
    </row>
    <row r="17" spans="1:7" x14ac:dyDescent="0.2">
      <c r="A17" s="91">
        <v>37802</v>
      </c>
      <c r="B17" s="66">
        <v>3848</v>
      </c>
      <c r="C17" s="66">
        <v>4542092</v>
      </c>
      <c r="D17" s="29">
        <f t="shared" si="0"/>
        <v>1180.3773388773388</v>
      </c>
      <c r="E17" s="43">
        <v>2090</v>
      </c>
      <c r="F17" s="109">
        <f t="shared" si="1"/>
        <v>54.313929313929314</v>
      </c>
      <c r="G17" s="43">
        <v>490736</v>
      </c>
    </row>
    <row r="18" spans="1:7" x14ac:dyDescent="0.2">
      <c r="A18" s="91">
        <v>37894</v>
      </c>
      <c r="B18" s="66">
        <v>3853</v>
      </c>
      <c r="C18" s="66">
        <v>4554861</v>
      </c>
      <c r="D18" s="29">
        <f t="shared" ref="D18:D23" si="2">C18/B18</f>
        <v>1182.1596158837269</v>
      </c>
      <c r="E18" s="43">
        <v>2109</v>
      </c>
      <c r="F18" s="109">
        <f t="shared" si="1"/>
        <v>54.736568907344925</v>
      </c>
      <c r="G18" s="43">
        <v>471657</v>
      </c>
    </row>
    <row r="19" spans="1:7" x14ac:dyDescent="0.2">
      <c r="A19" s="91">
        <v>37986</v>
      </c>
      <c r="B19" s="66">
        <v>3847</v>
      </c>
      <c r="C19" s="66">
        <v>4563751</v>
      </c>
      <c r="D19" s="29">
        <f t="shared" si="2"/>
        <v>1186.3142708604107</v>
      </c>
      <c r="E19" s="43">
        <v>2026</v>
      </c>
      <c r="F19" s="109">
        <f t="shared" si="1"/>
        <v>52.664413828957628</v>
      </c>
      <c r="G19" s="43">
        <v>452044</v>
      </c>
    </row>
    <row r="20" spans="1:7" x14ac:dyDescent="0.2">
      <c r="A20" s="91">
        <v>38077</v>
      </c>
      <c r="B20" s="66">
        <v>3847</v>
      </c>
      <c r="C20" s="66">
        <v>4569885</v>
      </c>
      <c r="D20" s="29">
        <f t="shared" si="2"/>
        <v>1187.9087600727839</v>
      </c>
      <c r="E20" s="43">
        <v>2042</v>
      </c>
      <c r="F20" s="109">
        <f t="shared" si="1"/>
        <v>53.080322329087601</v>
      </c>
      <c r="G20" s="43">
        <v>448389</v>
      </c>
    </row>
    <row r="21" spans="1:7" x14ac:dyDescent="0.2">
      <c r="A21" s="91">
        <v>38168</v>
      </c>
      <c r="B21" s="66">
        <v>3863</v>
      </c>
      <c r="C21" s="66">
        <v>4576869</v>
      </c>
      <c r="D21" s="29">
        <f t="shared" si="2"/>
        <v>1184.7965311933731</v>
      </c>
      <c r="E21" s="43">
        <v>1994</v>
      </c>
      <c r="F21" s="109">
        <f t="shared" si="1"/>
        <v>51.617913538700492</v>
      </c>
      <c r="G21" s="43">
        <v>457680</v>
      </c>
    </row>
    <row r="22" spans="1:7" x14ac:dyDescent="0.2">
      <c r="A22" s="91">
        <v>38260</v>
      </c>
      <c r="B22" s="66">
        <v>3870</v>
      </c>
      <c r="C22" s="66">
        <v>4585807</v>
      </c>
      <c r="D22" s="29">
        <f t="shared" si="2"/>
        <v>1184.9630490956072</v>
      </c>
      <c r="E22" s="43">
        <v>2128</v>
      </c>
      <c r="F22" s="109">
        <f t="shared" si="1"/>
        <v>54.987080103359176</v>
      </c>
      <c r="G22" s="43">
        <v>460057</v>
      </c>
    </row>
    <row r="23" spans="1:7" x14ac:dyDescent="0.2">
      <c r="A23" s="91">
        <v>38352</v>
      </c>
      <c r="B23" s="66">
        <v>3877</v>
      </c>
      <c r="C23" s="66">
        <v>4594210</v>
      </c>
      <c r="D23" s="29">
        <f t="shared" si="2"/>
        <v>1184.9909724013412</v>
      </c>
      <c r="E23" s="43">
        <v>2140</v>
      </c>
      <c r="F23" s="109">
        <f t="shared" ref="F23:F28" si="3">E23*100/B23</f>
        <v>55.1973175135414</v>
      </c>
      <c r="G23" s="43">
        <v>459183</v>
      </c>
    </row>
    <row r="24" spans="1:7" x14ac:dyDescent="0.2">
      <c r="A24" s="91">
        <v>38442</v>
      </c>
      <c r="B24" s="66">
        <v>3876</v>
      </c>
      <c r="C24" s="66">
        <v>4602761</v>
      </c>
      <c r="D24" s="29">
        <f t="shared" ref="D24:D29" si="4">C24/B24</f>
        <v>1187.5028379772962</v>
      </c>
      <c r="E24" s="43">
        <v>2176</v>
      </c>
      <c r="F24" s="109">
        <f t="shared" si="3"/>
        <v>56.140350877192979</v>
      </c>
      <c r="G24" s="43">
        <v>455221</v>
      </c>
    </row>
    <row r="25" spans="1:7" x14ac:dyDescent="0.2">
      <c r="A25" s="91">
        <v>38533</v>
      </c>
      <c r="B25" s="66">
        <v>3882</v>
      </c>
      <c r="C25" s="66">
        <v>4609773</v>
      </c>
      <c r="D25" s="29">
        <f t="shared" si="4"/>
        <v>1187.4737248840804</v>
      </c>
      <c r="E25" s="43">
        <v>2047</v>
      </c>
      <c r="F25" s="109">
        <f t="shared" si="3"/>
        <v>52.730551262235963</v>
      </c>
      <c r="G25" s="43">
        <v>445603</v>
      </c>
    </row>
    <row r="26" spans="1:7" x14ac:dyDescent="0.2">
      <c r="A26" s="91">
        <v>38625</v>
      </c>
      <c r="B26" s="66">
        <v>3892</v>
      </c>
      <c r="C26" s="66">
        <v>4619190</v>
      </c>
      <c r="D26" s="29">
        <f t="shared" si="4"/>
        <v>1186.8422404933197</v>
      </c>
      <c r="E26" s="43">
        <v>2129</v>
      </c>
      <c r="F26" s="109">
        <f t="shared" si="3"/>
        <v>54.701952723535456</v>
      </c>
      <c r="G26" s="43">
        <v>450405</v>
      </c>
    </row>
    <row r="27" spans="1:7" x14ac:dyDescent="0.2">
      <c r="A27" s="91">
        <v>38717</v>
      </c>
      <c r="B27" s="66">
        <v>3893</v>
      </c>
      <c r="C27" s="66">
        <v>4626937</v>
      </c>
      <c r="D27" s="29">
        <f t="shared" si="4"/>
        <v>1188.5273567942461</v>
      </c>
      <c r="E27" s="43">
        <v>2032</v>
      </c>
      <c r="F27" s="109">
        <f t="shared" si="3"/>
        <v>52.196249678910867</v>
      </c>
      <c r="G27" s="43">
        <v>439858</v>
      </c>
    </row>
    <row r="28" spans="1:7" x14ac:dyDescent="0.2">
      <c r="A28" s="91">
        <v>38807</v>
      </c>
      <c r="B28" s="66">
        <v>3908</v>
      </c>
      <c r="C28" s="66">
        <v>4635274</v>
      </c>
      <c r="D28" s="29">
        <f t="shared" si="4"/>
        <v>1186.098771750256</v>
      </c>
      <c r="E28" s="43">
        <v>2025</v>
      </c>
      <c r="F28" s="109">
        <f t="shared" si="3"/>
        <v>51.816786079836234</v>
      </c>
      <c r="G28" s="43">
        <v>442051</v>
      </c>
    </row>
    <row r="29" spans="1:7" x14ac:dyDescent="0.2">
      <c r="A29" s="91">
        <v>38898</v>
      </c>
      <c r="B29" s="66">
        <v>3917</v>
      </c>
      <c r="C29" s="66">
        <v>4645791</v>
      </c>
      <c r="D29" s="29">
        <f t="shared" si="4"/>
        <v>1186.0584631095226</v>
      </c>
      <c r="E29" s="43">
        <v>1993</v>
      </c>
      <c r="F29" s="109">
        <f t="shared" ref="F29:F34" si="5">E29*100/B29</f>
        <v>50.880776104161349</v>
      </c>
      <c r="G29" s="43">
        <v>438103</v>
      </c>
    </row>
    <row r="30" spans="1:7" x14ac:dyDescent="0.2">
      <c r="A30" s="91">
        <v>38990</v>
      </c>
      <c r="B30" s="66">
        <v>3927</v>
      </c>
      <c r="C30" s="66">
        <v>4654279</v>
      </c>
      <c r="D30" s="29">
        <f t="shared" ref="D30:D35" si="6">C30/B30</f>
        <v>1185.1996434937612</v>
      </c>
      <c r="E30" s="43">
        <v>1948</v>
      </c>
      <c r="F30" s="109">
        <f t="shared" si="5"/>
        <v>49.605296664120196</v>
      </c>
      <c r="G30" s="43">
        <v>437326</v>
      </c>
    </row>
    <row r="31" spans="1:7" x14ac:dyDescent="0.2">
      <c r="A31" s="91">
        <v>39082</v>
      </c>
      <c r="B31" s="66">
        <v>3940</v>
      </c>
      <c r="C31" s="66">
        <v>4666942</v>
      </c>
      <c r="D31" s="29">
        <f t="shared" si="6"/>
        <v>1184.5030456852792</v>
      </c>
      <c r="E31" s="43">
        <v>1969</v>
      </c>
      <c r="F31" s="109">
        <f t="shared" si="5"/>
        <v>49.974619289340104</v>
      </c>
      <c r="G31" s="43">
        <v>432927</v>
      </c>
    </row>
    <row r="32" spans="1:7" x14ac:dyDescent="0.2">
      <c r="A32" s="91">
        <v>39172</v>
      </c>
      <c r="B32" s="66">
        <v>3953</v>
      </c>
      <c r="C32" s="66">
        <v>4678186</v>
      </c>
      <c r="D32" s="29">
        <f t="shared" si="6"/>
        <v>1183.452061725272</v>
      </c>
      <c r="E32" s="43">
        <v>1978</v>
      </c>
      <c r="F32" s="109">
        <f t="shared" si="5"/>
        <v>50.037945863900838</v>
      </c>
      <c r="G32" s="43">
        <v>429851</v>
      </c>
    </row>
    <row r="33" spans="1:7" x14ac:dyDescent="0.2">
      <c r="A33" s="91">
        <v>39263</v>
      </c>
      <c r="B33" s="66">
        <v>3960</v>
      </c>
      <c r="C33" s="66">
        <v>4690527</v>
      </c>
      <c r="D33" s="29">
        <f t="shared" si="6"/>
        <v>1184.4765151515151</v>
      </c>
      <c r="E33" s="43">
        <v>1880</v>
      </c>
      <c r="F33" s="109">
        <f t="shared" si="5"/>
        <v>47.474747474747474</v>
      </c>
      <c r="G33" s="43">
        <v>418688</v>
      </c>
    </row>
    <row r="34" spans="1:7" x14ac:dyDescent="0.2">
      <c r="A34" s="91">
        <v>39355</v>
      </c>
      <c r="B34" s="66">
        <v>3975</v>
      </c>
      <c r="C34" s="66">
        <v>4703793</v>
      </c>
      <c r="D34" s="29">
        <f t="shared" si="6"/>
        <v>1183.3441509433962</v>
      </c>
      <c r="E34" s="43">
        <v>1933</v>
      </c>
      <c r="F34" s="109">
        <f t="shared" si="5"/>
        <v>48.628930817610062</v>
      </c>
      <c r="G34" s="43">
        <v>409372</v>
      </c>
    </row>
    <row r="35" spans="1:7" x14ac:dyDescent="0.2">
      <c r="A35" s="91">
        <v>39447</v>
      </c>
      <c r="B35" s="66">
        <v>3993</v>
      </c>
      <c r="C35" s="66">
        <v>4718928</v>
      </c>
      <c r="D35" s="29">
        <f t="shared" si="6"/>
        <v>1181.8001502629602</v>
      </c>
      <c r="E35" s="43">
        <v>1899</v>
      </c>
      <c r="F35" s="109">
        <f t="shared" ref="F35:F48" si="7">E35*100/B35</f>
        <v>47.558226897069872</v>
      </c>
      <c r="G35" s="43">
        <v>402578</v>
      </c>
    </row>
    <row r="36" spans="1:7" x14ac:dyDescent="0.2">
      <c r="A36" s="91">
        <v>39538</v>
      </c>
      <c r="B36" s="66">
        <v>4012</v>
      </c>
      <c r="C36" s="66">
        <v>4737114</v>
      </c>
      <c r="D36" s="29">
        <f t="shared" ref="D36:D48" si="8">C36/B36</f>
        <v>1180.7362911266202</v>
      </c>
      <c r="E36" s="43">
        <v>1855</v>
      </c>
      <c r="F36" s="109">
        <f t="shared" si="7"/>
        <v>46.236291126620138</v>
      </c>
      <c r="G36" s="43">
        <v>389656</v>
      </c>
    </row>
    <row r="37" spans="1:7" x14ac:dyDescent="0.2">
      <c r="A37" s="91">
        <v>39629</v>
      </c>
      <c r="B37" s="66">
        <v>4025</v>
      </c>
      <c r="C37" s="66">
        <v>4754020</v>
      </c>
      <c r="D37" s="29">
        <f t="shared" si="8"/>
        <v>1181.1229813664597</v>
      </c>
      <c r="E37" s="43">
        <v>1848</v>
      </c>
      <c r="F37" s="109">
        <f t="shared" si="7"/>
        <v>45.913043478260867</v>
      </c>
      <c r="G37" s="43">
        <v>372694</v>
      </c>
    </row>
    <row r="38" spans="1:7" x14ac:dyDescent="0.2">
      <c r="A38" s="91">
        <v>39721</v>
      </c>
      <c r="B38" s="66">
        <v>4041</v>
      </c>
      <c r="C38" s="66">
        <v>4768392</v>
      </c>
      <c r="D38" s="29">
        <f t="shared" si="8"/>
        <v>1180.0029695619896</v>
      </c>
      <c r="E38" s="43">
        <v>1865</v>
      </c>
      <c r="F38" s="109">
        <f t="shared" si="7"/>
        <v>46.151942588468202</v>
      </c>
      <c r="G38" s="43">
        <v>369988</v>
      </c>
    </row>
    <row r="39" spans="1:7" x14ac:dyDescent="0.2">
      <c r="A39" s="91">
        <v>39813</v>
      </c>
      <c r="B39" s="66">
        <v>4068</v>
      </c>
      <c r="C39" s="66">
        <v>4786558</v>
      </c>
      <c r="D39" s="29">
        <f t="shared" si="8"/>
        <v>1176.6366764995084</v>
      </c>
      <c r="E39" s="43">
        <v>1897</v>
      </c>
      <c r="F39" s="109">
        <f t="shared" si="7"/>
        <v>46.632251720747298</v>
      </c>
      <c r="G39" s="43">
        <v>373179</v>
      </c>
    </row>
    <row r="40" spans="1:7" x14ac:dyDescent="0.2">
      <c r="A40" s="91">
        <v>39903</v>
      </c>
      <c r="B40" s="66">
        <v>4082</v>
      </c>
      <c r="C40" s="66">
        <v>4802278</v>
      </c>
      <c r="D40" s="29">
        <f t="shared" si="8"/>
        <v>1176.4522292993631</v>
      </c>
      <c r="E40" s="43">
        <v>1897</v>
      </c>
      <c r="F40" s="109">
        <f t="shared" si="7"/>
        <v>46.47231749142577</v>
      </c>
      <c r="G40" s="43">
        <v>362787</v>
      </c>
    </row>
    <row r="41" spans="1:7" x14ac:dyDescent="0.2">
      <c r="A41" s="91">
        <v>39994</v>
      </c>
      <c r="B41" s="66">
        <v>4098</v>
      </c>
      <c r="C41" s="66">
        <v>4818400</v>
      </c>
      <c r="D41" s="29">
        <f t="shared" si="8"/>
        <v>1175.7930697901415</v>
      </c>
      <c r="E41" s="43">
        <v>1773</v>
      </c>
      <c r="F41" s="109">
        <f t="shared" si="7"/>
        <v>43.265007320644216</v>
      </c>
      <c r="G41" s="43">
        <v>353363</v>
      </c>
    </row>
    <row r="42" spans="1:7" x14ac:dyDescent="0.2">
      <c r="A42" s="91">
        <v>40086</v>
      </c>
      <c r="B42" s="66">
        <v>4122</v>
      </c>
      <c r="C42" s="66">
        <v>4831861</v>
      </c>
      <c r="D42" s="29">
        <f t="shared" si="8"/>
        <v>1172.2127607957302</v>
      </c>
      <c r="E42" s="43">
        <v>1828</v>
      </c>
      <c r="F42" s="109">
        <f t="shared" si="7"/>
        <v>44.347404172731686</v>
      </c>
      <c r="G42" s="43">
        <v>354048</v>
      </c>
    </row>
    <row r="43" spans="1:7" x14ac:dyDescent="0.2">
      <c r="A43" s="91">
        <v>40178</v>
      </c>
      <c r="B43" s="66">
        <v>4133</v>
      </c>
      <c r="C43" s="66">
        <v>4850094</v>
      </c>
      <c r="D43" s="29">
        <f t="shared" si="8"/>
        <v>1173.5044761674328</v>
      </c>
      <c r="E43" s="43">
        <v>1756</v>
      </c>
      <c r="F43" s="109">
        <f t="shared" si="7"/>
        <v>42.487297362690541</v>
      </c>
      <c r="G43" s="43">
        <v>345338</v>
      </c>
    </row>
    <row r="44" spans="1:7" x14ac:dyDescent="0.2">
      <c r="A44" s="91">
        <v>40268</v>
      </c>
      <c r="B44" s="66">
        <v>4158</v>
      </c>
      <c r="C44" s="66">
        <v>4868653</v>
      </c>
      <c r="D44" s="29">
        <f t="shared" si="8"/>
        <v>1170.9122174122174</v>
      </c>
      <c r="E44" s="43">
        <v>1846</v>
      </c>
      <c r="F44" s="109">
        <f t="shared" si="7"/>
        <v>44.396344396344396</v>
      </c>
      <c r="G44" s="43">
        <v>342652</v>
      </c>
    </row>
    <row r="45" spans="1:7" x14ac:dyDescent="0.2">
      <c r="A45" s="91">
        <v>40359</v>
      </c>
      <c r="B45" s="66">
        <v>4171</v>
      </c>
      <c r="C45" s="66">
        <v>4885010</v>
      </c>
      <c r="D45" s="29">
        <f t="shared" si="8"/>
        <v>1171.1843682570127</v>
      </c>
      <c r="E45" s="43">
        <v>1840</v>
      </c>
      <c r="F45" s="109">
        <f t="shared" si="7"/>
        <v>44.114121313833614</v>
      </c>
      <c r="G45" s="43">
        <v>342598</v>
      </c>
    </row>
    <row r="46" spans="1:7" x14ac:dyDescent="0.2">
      <c r="A46" s="91">
        <v>40451</v>
      </c>
      <c r="B46" s="66">
        <v>4197</v>
      </c>
      <c r="C46" s="66">
        <v>4898646</v>
      </c>
      <c r="D46" s="29">
        <f t="shared" si="8"/>
        <v>1167.1779842744818</v>
      </c>
      <c r="E46" s="43">
        <v>1946</v>
      </c>
      <c r="F46" s="109">
        <f t="shared" si="7"/>
        <v>46.36645222778175</v>
      </c>
      <c r="G46" s="43">
        <v>345830</v>
      </c>
    </row>
    <row r="47" spans="1:7" x14ac:dyDescent="0.2">
      <c r="A47" s="91">
        <v>40543</v>
      </c>
      <c r="B47" s="66">
        <v>4205</v>
      </c>
      <c r="C47" s="66">
        <v>4915372</v>
      </c>
      <c r="D47" s="29">
        <f t="shared" si="8"/>
        <v>1168.9350772889418</v>
      </c>
      <c r="E47" s="43">
        <v>1880</v>
      </c>
      <c r="F47" s="109">
        <f t="shared" si="7"/>
        <v>44.708680142687278</v>
      </c>
      <c r="G47" s="43">
        <v>336819</v>
      </c>
    </row>
    <row r="48" spans="1:7" x14ac:dyDescent="0.2">
      <c r="A48" s="91">
        <v>40633</v>
      </c>
      <c r="B48" s="66">
        <v>4227</v>
      </c>
      <c r="C48" s="66">
        <v>4934721</v>
      </c>
      <c r="D48" s="29">
        <f t="shared" si="8"/>
        <v>1167.4286728176012</v>
      </c>
      <c r="E48" s="43">
        <v>2029</v>
      </c>
      <c r="F48" s="109">
        <f t="shared" si="7"/>
        <v>48.000946297610597</v>
      </c>
      <c r="G48" s="43">
        <v>338954</v>
      </c>
    </row>
    <row r="49" spans="1:7" x14ac:dyDescent="0.2">
      <c r="A49" s="91">
        <v>40724</v>
      </c>
      <c r="B49" s="66">
        <v>4245</v>
      </c>
      <c r="C49" s="66">
        <v>4946675</v>
      </c>
      <c r="D49" s="29">
        <f t="shared" ref="D49:D56" si="9">C49/B49</f>
        <v>1165.2944640753828</v>
      </c>
      <c r="E49" s="43">
        <v>1905</v>
      </c>
      <c r="F49" s="109">
        <f t="shared" ref="F49:F56" si="10">E49*100/B49</f>
        <v>44.876325088339222</v>
      </c>
      <c r="G49" s="43">
        <v>339121</v>
      </c>
    </row>
    <row r="50" spans="1:7" x14ac:dyDescent="0.2">
      <c r="A50" s="91">
        <v>40816</v>
      </c>
      <c r="B50" s="66">
        <v>4259</v>
      </c>
      <c r="C50" s="66">
        <v>4963472</v>
      </c>
      <c r="D50" s="29">
        <f t="shared" si="9"/>
        <v>1165.4078422164828</v>
      </c>
      <c r="E50" s="43">
        <v>1916</v>
      </c>
      <c r="F50" s="109">
        <f t="shared" si="10"/>
        <v>44.987086170462547</v>
      </c>
      <c r="G50" s="43">
        <v>334481</v>
      </c>
    </row>
    <row r="51" spans="1:7" x14ac:dyDescent="0.2">
      <c r="A51" s="91">
        <v>40908</v>
      </c>
      <c r="B51" s="66">
        <v>4272</v>
      </c>
      <c r="C51" s="66">
        <v>4980572</v>
      </c>
      <c r="D51" s="29">
        <f t="shared" si="9"/>
        <v>1165.8642322097378</v>
      </c>
      <c r="E51" s="43">
        <v>1861</v>
      </c>
      <c r="F51" s="109">
        <f t="shared" si="10"/>
        <v>43.562734082397007</v>
      </c>
      <c r="G51" s="43">
        <v>313124</v>
      </c>
    </row>
    <row r="52" spans="1:7" x14ac:dyDescent="0.2">
      <c r="A52" s="91">
        <v>40999</v>
      </c>
      <c r="B52" s="66">
        <v>4302</v>
      </c>
      <c r="C52" s="66">
        <v>4997447</v>
      </c>
      <c r="D52" s="29">
        <f t="shared" si="9"/>
        <v>1161.6566713156672</v>
      </c>
      <c r="E52" s="43">
        <v>1843</v>
      </c>
      <c r="F52" s="109">
        <f t="shared" si="10"/>
        <v>42.840539284053925</v>
      </c>
      <c r="G52" s="43">
        <v>313986</v>
      </c>
    </row>
    <row r="53" spans="1:7" x14ac:dyDescent="0.2">
      <c r="A53" s="91">
        <v>41090</v>
      </c>
      <c r="B53" s="66">
        <v>4317</v>
      </c>
      <c r="C53" s="66">
        <v>5013519</v>
      </c>
      <c r="D53" s="29">
        <f t="shared" si="9"/>
        <v>1161.3432939541349</v>
      </c>
      <c r="E53" s="43">
        <v>1762</v>
      </c>
      <c r="F53" s="109">
        <f t="shared" si="10"/>
        <v>40.815381051656246</v>
      </c>
      <c r="G53" s="43">
        <v>303070</v>
      </c>
    </row>
    <row r="54" spans="1:7" x14ac:dyDescent="0.2">
      <c r="A54" s="91">
        <v>41182</v>
      </c>
      <c r="B54" s="66">
        <v>4345</v>
      </c>
      <c r="C54" s="66">
        <v>5031618</v>
      </c>
      <c r="D54" s="29">
        <f t="shared" si="9"/>
        <v>1158.0248561565018</v>
      </c>
      <c r="E54" s="43">
        <v>1910</v>
      </c>
      <c r="F54" s="109">
        <f t="shared" si="10"/>
        <v>43.958573072497124</v>
      </c>
      <c r="G54" s="43">
        <v>311132</v>
      </c>
    </row>
    <row r="55" spans="1:7" x14ac:dyDescent="0.2">
      <c r="A55" s="91">
        <v>41274</v>
      </c>
      <c r="B55" s="66">
        <v>4370</v>
      </c>
      <c r="C55" s="66">
        <v>5048718</v>
      </c>
      <c r="D55" s="29">
        <f t="shared" si="9"/>
        <v>1155.3130434782609</v>
      </c>
      <c r="E55" s="43">
        <v>1783</v>
      </c>
      <c r="F55" s="109">
        <f t="shared" si="10"/>
        <v>40.800915331807779</v>
      </c>
      <c r="G55" s="43">
        <v>310656</v>
      </c>
    </row>
    <row r="56" spans="1:7" x14ac:dyDescent="0.2">
      <c r="A56" s="91">
        <v>41364</v>
      </c>
      <c r="B56" s="66">
        <v>4385</v>
      </c>
      <c r="C56" s="66">
        <v>5063923</v>
      </c>
      <c r="D56" s="29">
        <f t="shared" si="9"/>
        <v>1154.8285062713796</v>
      </c>
      <c r="E56" s="43">
        <v>1835</v>
      </c>
      <c r="F56" s="109">
        <f t="shared" si="10"/>
        <v>41.847206385404789</v>
      </c>
      <c r="G56" s="43">
        <v>298377</v>
      </c>
    </row>
    <row r="57" spans="1:7" x14ac:dyDescent="0.2">
      <c r="A57" s="91">
        <v>41455</v>
      </c>
      <c r="B57" s="66">
        <v>4408</v>
      </c>
      <c r="C57" s="66">
        <v>5340560</v>
      </c>
      <c r="D57" s="29">
        <f t="shared" ref="D57:D62" si="11">C57/B57</f>
        <v>1211.5607985480945</v>
      </c>
      <c r="E57" s="43">
        <v>1756</v>
      </c>
      <c r="F57" s="109">
        <f t="shared" ref="F57:F62" si="12">E57*100/B57</f>
        <v>39.836660617059891</v>
      </c>
      <c r="G57" s="43">
        <v>292840</v>
      </c>
    </row>
    <row r="58" spans="1:7" x14ac:dyDescent="0.2">
      <c r="A58" s="91">
        <v>41547</v>
      </c>
      <c r="B58" s="66">
        <v>4453</v>
      </c>
      <c r="C58" s="66">
        <v>5093019</v>
      </c>
      <c r="D58" s="29">
        <f t="shared" si="11"/>
        <v>1143.7275993712103</v>
      </c>
      <c r="E58" s="43">
        <v>2008</v>
      </c>
      <c r="F58" s="109">
        <f t="shared" si="12"/>
        <v>45.093195598472938</v>
      </c>
      <c r="G58" s="43">
        <v>316264</v>
      </c>
    </row>
    <row r="59" spans="1:7" x14ac:dyDescent="0.2">
      <c r="A59" s="91">
        <v>41639</v>
      </c>
      <c r="B59" s="66">
        <v>4474</v>
      </c>
      <c r="C59" s="66">
        <v>5109174</v>
      </c>
      <c r="D59" s="29">
        <f t="shared" si="11"/>
        <v>1141.9700491729996</v>
      </c>
      <c r="E59" s="43">
        <v>1897</v>
      </c>
      <c r="F59" s="109">
        <f t="shared" si="12"/>
        <v>42.400536432722397</v>
      </c>
      <c r="G59" s="43">
        <v>317996</v>
      </c>
    </row>
    <row r="60" spans="1:7" x14ac:dyDescent="0.2">
      <c r="A60" s="91">
        <v>41729</v>
      </c>
      <c r="B60" s="66">
        <v>4516</v>
      </c>
      <c r="C60" s="66">
        <v>5125649</v>
      </c>
      <c r="D60" s="29">
        <f t="shared" si="11"/>
        <v>1134.9975642161205</v>
      </c>
      <c r="E60" s="43">
        <v>1949</v>
      </c>
      <c r="F60" s="109">
        <f t="shared" si="12"/>
        <v>43.157661647475642</v>
      </c>
      <c r="G60" s="43">
        <v>331438</v>
      </c>
    </row>
    <row r="61" spans="1:7" x14ac:dyDescent="0.2">
      <c r="A61" s="91">
        <v>41820</v>
      </c>
      <c r="B61" s="66">
        <v>4551</v>
      </c>
      <c r="C61" s="66">
        <v>5140689</v>
      </c>
      <c r="D61" s="29">
        <f t="shared" si="11"/>
        <v>1129.5735003295979</v>
      </c>
      <c r="E61" s="43">
        <v>1965</v>
      </c>
      <c r="F61" s="109">
        <f t="shared" si="12"/>
        <v>43.17732366512854</v>
      </c>
      <c r="G61" s="43">
        <v>338464</v>
      </c>
    </row>
    <row r="62" spans="1:7" x14ac:dyDescent="0.2">
      <c r="A62" s="91">
        <v>41912</v>
      </c>
      <c r="B62" s="66">
        <v>4576</v>
      </c>
      <c r="C62" s="66">
        <v>5154984</v>
      </c>
      <c r="D62" s="29">
        <f t="shared" si="11"/>
        <v>1126.5262237762238</v>
      </c>
      <c r="E62" s="43">
        <v>2057</v>
      </c>
      <c r="F62" s="109">
        <f t="shared" si="12"/>
        <v>44.95192307692308</v>
      </c>
      <c r="G62" s="43">
        <v>343665</v>
      </c>
    </row>
    <row r="63" spans="1:7" x14ac:dyDescent="0.2">
      <c r="A63" s="91">
        <v>42004</v>
      </c>
      <c r="B63" s="66">
        <v>4598</v>
      </c>
      <c r="C63" s="66">
        <v>5169133</v>
      </c>
      <c r="D63" s="29">
        <f t="shared" ref="D63:D68" si="13">C63/B63</f>
        <v>1124.2133536320139</v>
      </c>
      <c r="E63" s="43">
        <v>2047</v>
      </c>
      <c r="F63" s="109">
        <f t="shared" ref="F63:F68" si="14">E63*100/B63</f>
        <v>44.519356241844278</v>
      </c>
      <c r="G63" s="43">
        <v>350326</v>
      </c>
    </row>
    <row r="64" spans="1:7" x14ac:dyDescent="0.2">
      <c r="A64" s="91">
        <v>42094</v>
      </c>
      <c r="B64" s="66">
        <v>4620</v>
      </c>
      <c r="C64" s="66">
        <v>5182300</v>
      </c>
      <c r="D64" s="29">
        <f t="shared" si="13"/>
        <v>1121.7099567099567</v>
      </c>
      <c r="E64" s="43">
        <v>2116</v>
      </c>
      <c r="F64" s="109">
        <f t="shared" si="14"/>
        <v>45.8008658008658</v>
      </c>
      <c r="G64" s="43">
        <v>338303</v>
      </c>
    </row>
    <row r="65" spans="1:7" x14ac:dyDescent="0.2">
      <c r="A65" s="91">
        <v>42185</v>
      </c>
      <c r="B65" s="66">
        <v>4637</v>
      </c>
      <c r="C65" s="66">
        <v>5193791</v>
      </c>
      <c r="D65" s="29">
        <f t="shared" si="13"/>
        <v>1120.0756954927756</v>
      </c>
      <c r="E65" s="43">
        <v>1984</v>
      </c>
      <c r="F65" s="109">
        <f t="shared" si="14"/>
        <v>42.786284235497085</v>
      </c>
      <c r="G65" s="43">
        <v>338604</v>
      </c>
    </row>
    <row r="66" spans="1:7" x14ac:dyDescent="0.2">
      <c r="A66" s="91">
        <v>42277</v>
      </c>
      <c r="B66" s="66">
        <v>4644</v>
      </c>
      <c r="C66" s="66">
        <v>5205485</v>
      </c>
      <c r="D66" s="29">
        <f t="shared" si="13"/>
        <v>1120.9054694229112</v>
      </c>
      <c r="E66" s="43">
        <v>2066</v>
      </c>
      <c r="F66" s="109">
        <f t="shared" si="14"/>
        <v>44.487510766580534</v>
      </c>
      <c r="G66" s="43">
        <v>323582</v>
      </c>
    </row>
    <row r="67" spans="1:7" x14ac:dyDescent="0.2">
      <c r="A67" s="91">
        <v>42369</v>
      </c>
      <c r="B67" s="66">
        <v>4654</v>
      </c>
      <c r="C67" s="66">
        <v>5219771</v>
      </c>
      <c r="D67" s="29">
        <f t="shared" si="13"/>
        <v>1121.5666093682853</v>
      </c>
      <c r="E67" s="43">
        <v>1934</v>
      </c>
      <c r="F67" s="109">
        <f t="shared" si="14"/>
        <v>41.555651052857755</v>
      </c>
      <c r="G67" s="43">
        <v>309888</v>
      </c>
    </row>
    <row r="68" spans="1:7" x14ac:dyDescent="0.2">
      <c r="A68" s="91">
        <v>42460</v>
      </c>
      <c r="B68" s="66">
        <v>4680</v>
      </c>
      <c r="C68" s="66">
        <v>5235987</v>
      </c>
      <c r="D68" s="29">
        <f t="shared" si="13"/>
        <v>1118.800641025641</v>
      </c>
      <c r="E68" s="43">
        <v>1883</v>
      </c>
      <c r="F68" s="109">
        <f t="shared" si="14"/>
        <v>40.235042735042732</v>
      </c>
      <c r="G68" s="43">
        <v>304463</v>
      </c>
    </row>
    <row r="69" spans="1:7" x14ac:dyDescent="0.2">
      <c r="A69" s="91">
        <v>42551</v>
      </c>
      <c r="B69" s="66">
        <v>4704</v>
      </c>
      <c r="C69" s="66">
        <v>5249111</v>
      </c>
      <c r="D69" s="29">
        <f t="shared" ref="D69:D74" si="15">C69/B69</f>
        <v>1115.8824404761904</v>
      </c>
      <c r="E69" s="43">
        <f>3043+39</f>
        <v>3082</v>
      </c>
      <c r="F69" s="109">
        <f t="shared" ref="F69:F74" si="16">E69*100/B69</f>
        <v>65.518707482993193</v>
      </c>
      <c r="G69" s="43">
        <f>247645+25967</f>
        <v>273612</v>
      </c>
    </row>
    <row r="70" spans="1:7" x14ac:dyDescent="0.2">
      <c r="A70" s="91">
        <v>42643</v>
      </c>
      <c r="B70" s="66">
        <v>4761</v>
      </c>
      <c r="C70" s="66">
        <v>5264453</v>
      </c>
      <c r="D70" s="29">
        <f t="shared" si="15"/>
        <v>1105.7452215921026</v>
      </c>
      <c r="E70" s="43">
        <f>2767+55</f>
        <v>2822</v>
      </c>
      <c r="F70" s="109">
        <f t="shared" si="16"/>
        <v>59.273261919764757</v>
      </c>
      <c r="G70" s="43">
        <f>270029+27012</f>
        <v>297041</v>
      </c>
    </row>
    <row r="71" spans="1:7" x14ac:dyDescent="0.2">
      <c r="A71" s="91">
        <v>42735</v>
      </c>
      <c r="B71" s="66">
        <v>4746</v>
      </c>
      <c r="C71" s="66">
        <v>5274440</v>
      </c>
      <c r="D71" s="29">
        <f t="shared" si="15"/>
        <v>1111.3442899283607</v>
      </c>
      <c r="E71" s="43">
        <f>2307+63</f>
        <v>2370</v>
      </c>
      <c r="F71" s="109">
        <f t="shared" si="16"/>
        <v>49.936788874841973</v>
      </c>
      <c r="G71" s="43">
        <f>243635+21360</f>
        <v>264995</v>
      </c>
    </row>
    <row r="72" spans="1:7" x14ac:dyDescent="0.2">
      <c r="A72" s="91">
        <v>42825</v>
      </c>
      <c r="B72" s="66">
        <v>4773</v>
      </c>
      <c r="C72" s="38">
        <f>'Tabell 2'!D72+'Tabell 3'!D72</f>
        <v>5278150</v>
      </c>
      <c r="D72" s="29">
        <f t="shared" si="15"/>
        <v>1105.8349046721139</v>
      </c>
      <c r="E72" s="43">
        <f>1703+70</f>
        <v>1773</v>
      </c>
      <c r="F72" s="109">
        <f t="shared" si="16"/>
        <v>37.146448774355754</v>
      </c>
      <c r="G72" s="43">
        <f>254385+24829</f>
        <v>279214</v>
      </c>
    </row>
    <row r="73" spans="1:7" x14ac:dyDescent="0.2">
      <c r="A73" s="91">
        <v>42916</v>
      </c>
      <c r="B73" s="66">
        <v>4788</v>
      </c>
      <c r="C73" s="38">
        <f>'Tabell 2'!D73+'Tabell 3'!D73</f>
        <v>5290625</v>
      </c>
      <c r="D73" s="29">
        <f t="shared" si="15"/>
        <v>1104.9759816207184</v>
      </c>
      <c r="E73" s="43">
        <f>1822+72</f>
        <v>1894</v>
      </c>
      <c r="F73" s="109">
        <f t="shared" si="16"/>
        <v>39.557226399331661</v>
      </c>
      <c r="G73" s="43">
        <f>241254+23756</f>
        <v>265010</v>
      </c>
    </row>
    <row r="74" spans="1:7" x14ac:dyDescent="0.2">
      <c r="A74" s="91">
        <v>43008</v>
      </c>
      <c r="B74" s="66">
        <v>4816</v>
      </c>
      <c r="C74" s="38">
        <f>'Tabell 2'!D74+'Tabell 3'!D74</f>
        <v>5289184</v>
      </c>
      <c r="D74" s="29">
        <f t="shared" si="15"/>
        <v>1098.2524916943521</v>
      </c>
      <c r="E74" s="43">
        <f>2327+57</f>
        <v>2384</v>
      </c>
      <c r="F74" s="109">
        <f t="shared" si="16"/>
        <v>49.501661129568106</v>
      </c>
      <c r="G74" s="43">
        <f>252016+23545</f>
        <v>275561</v>
      </c>
    </row>
    <row r="75" spans="1:7" x14ac:dyDescent="0.2">
      <c r="A75" s="91">
        <v>43100</v>
      </c>
      <c r="B75" s="66">
        <v>4828</v>
      </c>
      <c r="C75" s="38">
        <f>'Tabell 2'!D75+'Tabell 3'!D75</f>
        <v>5300909</v>
      </c>
      <c r="D75" s="29">
        <f t="shared" ref="D75:D80" si="17">C75/B75</f>
        <v>1097.9513256006628</v>
      </c>
      <c r="E75" s="43">
        <f>1720+62</f>
        <v>1782</v>
      </c>
      <c r="F75" s="109">
        <f t="shared" ref="F75:F80" si="18">E75*100/B75</f>
        <v>36.909693454846725</v>
      </c>
      <c r="G75" s="43">
        <f>238905+17607</f>
        <v>256512</v>
      </c>
    </row>
    <row r="76" spans="1:7" x14ac:dyDescent="0.2">
      <c r="A76" s="91">
        <v>43190</v>
      </c>
      <c r="B76" s="66">
        <v>4859</v>
      </c>
      <c r="C76" s="38">
        <f>'Tabell 2'!D76+'Tabell 3'!D76</f>
        <v>5307867</v>
      </c>
      <c r="D76" s="29">
        <f t="shared" si="17"/>
        <v>1092.3784729368183</v>
      </c>
      <c r="E76" s="43">
        <f>1593+58</f>
        <v>1651</v>
      </c>
      <c r="F76" s="109">
        <f t="shared" si="18"/>
        <v>33.978184811689651</v>
      </c>
      <c r="G76" s="43">
        <f>237978+20365</f>
        <v>258343</v>
      </c>
    </row>
    <row r="77" spans="1:7" x14ac:dyDescent="0.2">
      <c r="A77" s="91">
        <v>43281</v>
      </c>
      <c r="B77" s="66">
        <v>4872</v>
      </c>
      <c r="C77" s="38">
        <f>'Tabell 2'!D77+'Tabell 3'!D77</f>
        <v>5316782</v>
      </c>
      <c r="D77" s="29">
        <f t="shared" si="17"/>
        <v>1091.2935139573071</v>
      </c>
      <c r="E77" s="43">
        <f>1510+81</f>
        <v>1591</v>
      </c>
      <c r="F77" s="109">
        <f t="shared" si="18"/>
        <v>32.655993431855499</v>
      </c>
      <c r="G77" s="43">
        <f>224282+20398</f>
        <v>244680</v>
      </c>
    </row>
    <row r="78" spans="1:7" x14ac:dyDescent="0.2">
      <c r="A78" s="91">
        <v>43373</v>
      </c>
      <c r="B78" s="66">
        <v>4907</v>
      </c>
      <c r="C78" s="38">
        <f>'Tabell 2'!D78+'Tabell 3'!D78</f>
        <v>5326699</v>
      </c>
      <c r="D78" s="29">
        <f t="shared" si="17"/>
        <v>1085.5306704707561</v>
      </c>
      <c r="E78" s="43">
        <f>1495+75</f>
        <v>1570</v>
      </c>
      <c r="F78" s="109">
        <f t="shared" si="18"/>
        <v>31.995109027919298</v>
      </c>
      <c r="G78" s="43">
        <f>226074+24296</f>
        <v>250370</v>
      </c>
    </row>
    <row r="79" spans="1:7" x14ac:dyDescent="0.2">
      <c r="A79" s="91">
        <v>43465</v>
      </c>
      <c r="B79" s="66">
        <v>4914</v>
      </c>
      <c r="C79" s="38">
        <f>'Tabell 2'!D79+'Tabell 3'!D79</f>
        <v>5337362</v>
      </c>
      <c r="D79" s="29">
        <f t="shared" si="17"/>
        <v>1086.1542531542532</v>
      </c>
      <c r="E79" s="43">
        <f>1544+82</f>
        <v>1626</v>
      </c>
      <c r="F79" s="109">
        <f t="shared" si="18"/>
        <v>33.089133089133092</v>
      </c>
      <c r="G79" s="43">
        <f>205884+27716</f>
        <v>233600</v>
      </c>
    </row>
    <row r="80" spans="1:7" x14ac:dyDescent="0.2">
      <c r="A80" s="91">
        <v>43555</v>
      </c>
      <c r="B80" s="66">
        <v>4944</v>
      </c>
      <c r="C80" s="38">
        <f>'Tabell 2'!D80+'Tabell 3'!D80</f>
        <v>5341498</v>
      </c>
      <c r="D80" s="29">
        <f t="shared" si="17"/>
        <v>1080.4000809061488</v>
      </c>
      <c r="E80" s="43">
        <f>1424+86</f>
        <v>1510</v>
      </c>
      <c r="F80" s="109">
        <f t="shared" si="18"/>
        <v>30.542071197411005</v>
      </c>
      <c r="G80" s="43">
        <f>198758+30462</f>
        <v>229220</v>
      </c>
    </row>
    <row r="81" spans="1:7" x14ac:dyDescent="0.2">
      <c r="A81" s="91">
        <v>43646</v>
      </c>
      <c r="B81" s="66">
        <v>4965</v>
      </c>
      <c r="C81" s="38">
        <f>'Tabell 2'!D81+'Tabell 3'!D81</f>
        <v>5350018</v>
      </c>
      <c r="D81" s="29">
        <f t="shared" ref="D81" si="19">C81/B81</f>
        <v>1077.5464249748238</v>
      </c>
      <c r="E81" s="43">
        <f>1338+94</f>
        <v>1432</v>
      </c>
      <c r="F81" s="109">
        <f t="shared" ref="F81:F86" si="20">E81*100/B81</f>
        <v>28.841893252769385</v>
      </c>
      <c r="G81" s="43">
        <f>189710+39722</f>
        <v>229432</v>
      </c>
    </row>
    <row r="82" spans="1:7" x14ac:dyDescent="0.2">
      <c r="A82" s="91">
        <v>43738</v>
      </c>
      <c r="B82" s="66">
        <v>5001</v>
      </c>
      <c r="C82" s="38">
        <f>'Tabell 2'!D82+'Tabell 3'!D82</f>
        <v>5358327</v>
      </c>
      <c r="D82" s="29">
        <f t="shared" ref="D82" si="21">C82/B82</f>
        <v>1071.4511097780444</v>
      </c>
      <c r="E82" s="43">
        <f>1328+98</f>
        <v>1426</v>
      </c>
      <c r="F82" s="109">
        <f t="shared" si="20"/>
        <v>28.514297140571884</v>
      </c>
      <c r="G82" s="43">
        <f>198950+35399</f>
        <v>234349</v>
      </c>
    </row>
    <row r="83" spans="1:7" x14ac:dyDescent="0.2">
      <c r="A83" s="91">
        <v>43830</v>
      </c>
      <c r="B83" s="66">
        <v>5010</v>
      </c>
      <c r="C83" s="38">
        <f>'Tabell 2'!D83+'Tabell 3'!D83</f>
        <v>5370782</v>
      </c>
      <c r="D83" s="29">
        <f t="shared" ref="D83" si="22">C83/B83</f>
        <v>1072.012375249501</v>
      </c>
      <c r="E83" s="43">
        <f>1279+91</f>
        <v>1370</v>
      </c>
      <c r="F83" s="109">
        <f t="shared" si="20"/>
        <v>27.345309381237524</v>
      </c>
      <c r="G83" s="43">
        <f>179956+31103</f>
        <v>211059</v>
      </c>
    </row>
    <row r="84" spans="1:7" x14ac:dyDescent="0.2">
      <c r="A84" s="91">
        <v>43921</v>
      </c>
      <c r="B84" s="66">
        <v>5062</v>
      </c>
      <c r="C84" s="38">
        <f>'Tabell 2'!D84+'Tabell 3'!D84</f>
        <v>5381942</v>
      </c>
      <c r="D84" s="29">
        <f t="shared" ref="D84" si="23">C84/B84</f>
        <v>1063.2046621888583</v>
      </c>
      <c r="E84" s="43">
        <v>1501</v>
      </c>
      <c r="F84" s="109">
        <f t="shared" si="20"/>
        <v>29.652311339391545</v>
      </c>
      <c r="G84" s="43">
        <v>221387</v>
      </c>
    </row>
    <row r="85" spans="1:7" x14ac:dyDescent="0.2">
      <c r="A85" s="91">
        <v>44104</v>
      </c>
      <c r="B85" s="66">
        <v>5110</v>
      </c>
      <c r="C85" s="38">
        <f>'Tabell 2'!D85+'Tabell 3'!D85</f>
        <v>5389467</v>
      </c>
      <c r="D85" s="29">
        <f t="shared" ref="D85" si="24">C85/B85</f>
        <v>1054.6902152641878</v>
      </c>
      <c r="E85" s="43">
        <f>1347+117</f>
        <v>1464</v>
      </c>
      <c r="F85" s="109">
        <f t="shared" si="20"/>
        <v>28.649706457925635</v>
      </c>
      <c r="G85" s="43">
        <f>186754+31215</f>
        <v>217969</v>
      </c>
    </row>
    <row r="86" spans="1:7" x14ac:dyDescent="0.2">
      <c r="A86" s="91">
        <v>44196</v>
      </c>
      <c r="B86" s="66">
        <v>5133</v>
      </c>
      <c r="C86" s="38">
        <f>'Tabell 2'!D86+'Tabell 3'!D86</f>
        <v>5399431</v>
      </c>
      <c r="D86" s="29">
        <f t="shared" ref="D86" si="25">C86/B86</f>
        <v>1051.9055133450224</v>
      </c>
      <c r="E86" s="43">
        <f>1264+145</f>
        <v>1409</v>
      </c>
      <c r="F86" s="109">
        <f t="shared" si="20"/>
        <v>27.449834404831481</v>
      </c>
      <c r="G86" s="43">
        <f>171752+38754</f>
        <v>210506</v>
      </c>
    </row>
    <row r="87" spans="1:7" x14ac:dyDescent="0.2">
      <c r="A87" s="34" t="s">
        <v>38</v>
      </c>
    </row>
    <row r="88" spans="1:7" x14ac:dyDescent="0.2">
      <c r="A88" t="s">
        <v>123</v>
      </c>
    </row>
    <row r="89" spans="1:7" x14ac:dyDescent="0.2">
      <c r="A89" s="34" t="s">
        <v>104</v>
      </c>
    </row>
    <row r="90" spans="1:7" x14ac:dyDescent="0.2">
      <c r="A90" s="34" t="s">
        <v>105</v>
      </c>
    </row>
    <row r="91" spans="1:7" x14ac:dyDescent="0.2">
      <c r="A91" s="90" t="s">
        <v>106</v>
      </c>
    </row>
    <row r="93" spans="1:7" x14ac:dyDescent="0.2">
      <c r="D93" s="25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8"/>
  <sheetViews>
    <sheetView workbookViewId="0">
      <pane ySplit="5" topLeftCell="A45" activePane="bottomLeft" state="frozen"/>
      <selection pane="bottomLeft" activeCell="A82" sqref="A82:H82"/>
    </sheetView>
  </sheetViews>
  <sheetFormatPr baseColWidth="10" defaultRowHeight="12.75" x14ac:dyDescent="0.2"/>
  <cols>
    <col min="1" max="1" width="11.5703125" customWidth="1"/>
    <col min="2" max="3" width="10.140625" customWidth="1"/>
    <col min="4" max="8" width="10.42578125" customWidth="1"/>
    <col min="9" max="9" width="6" customWidth="1"/>
    <col min="10" max="12" width="9.7109375" customWidth="1"/>
  </cols>
  <sheetData>
    <row r="1" spans="1:12" x14ac:dyDescent="0.2">
      <c r="A1" s="26" t="s">
        <v>76</v>
      </c>
    </row>
    <row r="2" spans="1:12" x14ac:dyDescent="0.2">
      <c r="A2" s="52"/>
      <c r="B2" s="53"/>
      <c r="C2" s="53"/>
      <c r="D2" s="53"/>
      <c r="E2" s="53"/>
      <c r="F2" s="53"/>
      <c r="G2" s="53"/>
      <c r="H2" s="54" t="s">
        <v>10</v>
      </c>
    </row>
    <row r="3" spans="1:12" x14ac:dyDescent="0.2">
      <c r="A3" s="52"/>
      <c r="B3" s="54" t="s">
        <v>10</v>
      </c>
      <c r="C3" s="54" t="s">
        <v>10</v>
      </c>
      <c r="D3" s="54" t="s">
        <v>10</v>
      </c>
      <c r="E3" s="54" t="s">
        <v>10</v>
      </c>
      <c r="F3" s="54" t="s">
        <v>10</v>
      </c>
      <c r="G3" s="54" t="s">
        <v>10</v>
      </c>
      <c r="H3" s="54" t="s">
        <v>31</v>
      </c>
      <c r="J3" s="54" t="s">
        <v>10</v>
      </c>
    </row>
    <row r="4" spans="1:12" x14ac:dyDescent="0.2">
      <c r="A4" s="52"/>
      <c r="B4" s="54" t="s">
        <v>75</v>
      </c>
      <c r="C4" s="54" t="s">
        <v>56</v>
      </c>
      <c r="D4" s="54" t="s">
        <v>31</v>
      </c>
      <c r="E4" s="54" t="s">
        <v>31</v>
      </c>
      <c r="F4" s="54" t="s">
        <v>31</v>
      </c>
      <c r="G4" s="54" t="s">
        <v>31</v>
      </c>
      <c r="H4" s="54" t="s">
        <v>71</v>
      </c>
      <c r="J4" s="54" t="s">
        <v>31</v>
      </c>
    </row>
    <row r="5" spans="1:12" x14ac:dyDescent="0.2">
      <c r="A5" s="97"/>
      <c r="B5" s="76" t="s">
        <v>31</v>
      </c>
      <c r="C5" s="76" t="s">
        <v>31</v>
      </c>
      <c r="D5" s="76" t="s">
        <v>70</v>
      </c>
      <c r="E5" s="76" t="s">
        <v>72</v>
      </c>
      <c r="F5" s="76" t="s">
        <v>73</v>
      </c>
      <c r="G5" s="76" t="s">
        <v>74</v>
      </c>
      <c r="H5" s="98" t="s">
        <v>58</v>
      </c>
      <c r="J5" s="76" t="s">
        <v>96</v>
      </c>
    </row>
    <row r="6" spans="1:12" ht="14.25" x14ac:dyDescent="0.2">
      <c r="A6" s="37" t="s">
        <v>36</v>
      </c>
      <c r="B6" s="102">
        <v>2496</v>
      </c>
      <c r="C6" s="101">
        <f t="shared" ref="C6:C15" si="0">J6-B6</f>
        <v>990</v>
      </c>
      <c r="D6" s="102">
        <v>67</v>
      </c>
      <c r="E6" s="102">
        <v>759</v>
      </c>
      <c r="F6" s="102">
        <v>2080</v>
      </c>
      <c r="G6" s="102">
        <v>557</v>
      </c>
      <c r="H6" s="57">
        <f t="shared" ref="H6:H15" si="1">J6-D6-E6-F6-G6</f>
        <v>23</v>
      </c>
      <c r="I6" s="31"/>
      <c r="J6" s="102">
        <v>3486</v>
      </c>
    </row>
    <row r="7" spans="1:12" x14ac:dyDescent="0.2">
      <c r="A7" s="55">
        <v>37072</v>
      </c>
      <c r="B7" s="39">
        <v>2552</v>
      </c>
      <c r="C7" s="56">
        <f t="shared" si="0"/>
        <v>1033</v>
      </c>
      <c r="D7" s="77">
        <v>79</v>
      </c>
      <c r="E7" s="77">
        <v>784</v>
      </c>
      <c r="F7" s="77">
        <v>2098</v>
      </c>
      <c r="G7" s="77">
        <v>596</v>
      </c>
      <c r="H7" s="57">
        <f t="shared" si="1"/>
        <v>28</v>
      </c>
      <c r="I7" s="25"/>
      <c r="J7" s="77">
        <v>3585</v>
      </c>
    </row>
    <row r="8" spans="1:12" x14ac:dyDescent="0.2">
      <c r="A8" s="55">
        <v>37164</v>
      </c>
      <c r="B8" s="39">
        <v>2581</v>
      </c>
      <c r="C8" s="56">
        <f t="shared" si="0"/>
        <v>1054</v>
      </c>
      <c r="D8" s="39">
        <v>80</v>
      </c>
      <c r="E8" s="39">
        <v>798</v>
      </c>
      <c r="F8" s="39">
        <v>2108</v>
      </c>
      <c r="G8" s="39">
        <v>619</v>
      </c>
      <c r="H8" s="57">
        <f t="shared" si="1"/>
        <v>30</v>
      </c>
      <c r="I8" s="25"/>
      <c r="J8" s="39">
        <v>3635</v>
      </c>
      <c r="L8" s="25"/>
    </row>
    <row r="9" spans="1:12" x14ac:dyDescent="0.2">
      <c r="A9" s="55">
        <v>37256</v>
      </c>
      <c r="B9" s="39">
        <v>2599</v>
      </c>
      <c r="C9" s="56">
        <f t="shared" si="0"/>
        <v>1062</v>
      </c>
      <c r="D9" s="39">
        <v>73</v>
      </c>
      <c r="E9" s="39">
        <v>798</v>
      </c>
      <c r="F9" s="39">
        <v>2113</v>
      </c>
      <c r="G9" s="39">
        <v>646</v>
      </c>
      <c r="H9" s="57">
        <f t="shared" si="1"/>
        <v>31</v>
      </c>
      <c r="I9" s="25"/>
      <c r="J9" s="39">
        <v>3661</v>
      </c>
    </row>
    <row r="10" spans="1:12" x14ac:dyDescent="0.2">
      <c r="A10" s="55">
        <v>37346</v>
      </c>
      <c r="B10" s="39">
        <v>2616</v>
      </c>
      <c r="C10" s="56">
        <f t="shared" si="0"/>
        <v>1076</v>
      </c>
      <c r="D10" s="39">
        <v>81</v>
      </c>
      <c r="E10" s="39">
        <v>797</v>
      </c>
      <c r="F10" s="39">
        <v>2120</v>
      </c>
      <c r="G10" s="39">
        <v>665</v>
      </c>
      <c r="H10" s="57">
        <f t="shared" si="1"/>
        <v>29</v>
      </c>
      <c r="I10" s="25"/>
      <c r="J10" s="39">
        <v>3692</v>
      </c>
    </row>
    <row r="11" spans="1:12" x14ac:dyDescent="0.2">
      <c r="A11" s="68">
        <v>37437</v>
      </c>
      <c r="B11" s="66">
        <v>2618</v>
      </c>
      <c r="C11" s="56">
        <f t="shared" si="0"/>
        <v>1077</v>
      </c>
      <c r="D11" s="66">
        <v>69</v>
      </c>
      <c r="E11" s="66">
        <v>787</v>
      </c>
      <c r="F11" s="66">
        <v>2124</v>
      </c>
      <c r="G11" s="66">
        <v>685</v>
      </c>
      <c r="H11" s="57">
        <f t="shared" si="1"/>
        <v>30</v>
      </c>
      <c r="I11" s="25"/>
      <c r="J11" s="39">
        <v>3695</v>
      </c>
    </row>
    <row r="12" spans="1:12" x14ac:dyDescent="0.2">
      <c r="A12" s="91">
        <v>37529</v>
      </c>
      <c r="B12" s="43">
        <v>2616</v>
      </c>
      <c r="C12" s="73">
        <f t="shared" si="0"/>
        <v>1089</v>
      </c>
      <c r="D12" s="43">
        <v>64</v>
      </c>
      <c r="E12" s="43">
        <v>787</v>
      </c>
      <c r="F12" s="43">
        <v>2126</v>
      </c>
      <c r="G12" s="43">
        <v>696</v>
      </c>
      <c r="H12" s="92">
        <f t="shared" si="1"/>
        <v>32</v>
      </c>
      <c r="I12" s="25"/>
      <c r="J12" s="39">
        <v>3705</v>
      </c>
    </row>
    <row r="13" spans="1:12" s="16" customFormat="1" x14ac:dyDescent="0.2">
      <c r="A13" s="67">
        <v>37621</v>
      </c>
      <c r="B13" s="43">
        <v>2613</v>
      </c>
      <c r="C13" s="73">
        <f t="shared" si="0"/>
        <v>1090</v>
      </c>
      <c r="D13" s="43">
        <v>56</v>
      </c>
      <c r="E13" s="43">
        <v>791</v>
      </c>
      <c r="F13" s="43">
        <v>2110</v>
      </c>
      <c r="G13" s="43">
        <v>711</v>
      </c>
      <c r="H13" s="92">
        <f t="shared" si="1"/>
        <v>35</v>
      </c>
      <c r="I13" s="29"/>
      <c r="J13" s="43">
        <v>3703</v>
      </c>
    </row>
    <row r="14" spans="1:12" x14ac:dyDescent="0.2">
      <c r="A14" s="37">
        <v>37711</v>
      </c>
      <c r="B14" s="43">
        <v>2617</v>
      </c>
      <c r="C14" s="73">
        <f t="shared" si="0"/>
        <v>1091</v>
      </c>
      <c r="D14" s="43">
        <v>55</v>
      </c>
      <c r="E14" s="43">
        <v>792</v>
      </c>
      <c r="F14" s="43">
        <v>2095</v>
      </c>
      <c r="G14" s="43">
        <v>731</v>
      </c>
      <c r="H14" s="92">
        <f t="shared" si="1"/>
        <v>35</v>
      </c>
      <c r="I14" s="29"/>
      <c r="J14" s="43">
        <v>3708</v>
      </c>
    </row>
    <row r="15" spans="1:12" x14ac:dyDescent="0.2">
      <c r="A15" s="67">
        <v>37802</v>
      </c>
      <c r="B15" s="99">
        <v>2615</v>
      </c>
      <c r="C15" s="73">
        <f t="shared" si="0"/>
        <v>1086</v>
      </c>
      <c r="D15" s="43">
        <v>49</v>
      </c>
      <c r="E15" s="43">
        <v>768</v>
      </c>
      <c r="F15" s="43">
        <v>2102</v>
      </c>
      <c r="G15" s="43">
        <v>747</v>
      </c>
      <c r="H15" s="92">
        <f t="shared" si="1"/>
        <v>35</v>
      </c>
      <c r="I15" s="29"/>
      <c r="J15" s="43">
        <v>3701</v>
      </c>
    </row>
    <row r="16" spans="1:12" x14ac:dyDescent="0.2">
      <c r="A16" s="67">
        <v>37894</v>
      </c>
      <c r="B16" s="99">
        <v>2616</v>
      </c>
      <c r="C16" s="73">
        <f t="shared" ref="C16:C21" si="2">J16-B16</f>
        <v>1095</v>
      </c>
      <c r="D16" s="43">
        <v>43</v>
      </c>
      <c r="E16" s="43">
        <v>779</v>
      </c>
      <c r="F16" s="43">
        <v>2094</v>
      </c>
      <c r="G16" s="43">
        <v>758</v>
      </c>
      <c r="H16" s="92">
        <f t="shared" ref="H16:H21" si="3">J16-D16-E16-F16-G16</f>
        <v>37</v>
      </c>
      <c r="I16" s="29"/>
      <c r="J16" s="43">
        <v>3711</v>
      </c>
    </row>
    <row r="17" spans="1:10" x14ac:dyDescent="0.2">
      <c r="A17" s="67">
        <v>37986</v>
      </c>
      <c r="B17" s="99">
        <v>2621</v>
      </c>
      <c r="C17" s="73">
        <f t="shared" si="2"/>
        <v>1092</v>
      </c>
      <c r="D17" s="43">
        <v>42</v>
      </c>
      <c r="E17" s="43">
        <v>772</v>
      </c>
      <c r="F17" s="43">
        <v>2083</v>
      </c>
      <c r="G17" s="43">
        <v>779</v>
      </c>
      <c r="H17" s="92">
        <f t="shared" si="3"/>
        <v>37</v>
      </c>
      <c r="I17" s="29"/>
      <c r="J17" s="43">
        <v>3713</v>
      </c>
    </row>
    <row r="18" spans="1:10" x14ac:dyDescent="0.2">
      <c r="A18" s="67">
        <v>38077</v>
      </c>
      <c r="B18" s="99">
        <v>2625</v>
      </c>
      <c r="C18" s="73">
        <f t="shared" si="2"/>
        <v>1102</v>
      </c>
      <c r="D18" s="43">
        <v>47</v>
      </c>
      <c r="E18" s="43">
        <v>771</v>
      </c>
      <c r="F18" s="43">
        <v>2080</v>
      </c>
      <c r="G18" s="43">
        <v>791</v>
      </c>
      <c r="H18" s="92">
        <f t="shared" si="3"/>
        <v>38</v>
      </c>
      <c r="I18" s="29"/>
      <c r="J18" s="43">
        <v>3727</v>
      </c>
    </row>
    <row r="19" spans="1:10" x14ac:dyDescent="0.2">
      <c r="A19" s="67">
        <v>38168</v>
      </c>
      <c r="B19" s="99">
        <v>2628</v>
      </c>
      <c r="C19" s="73">
        <f t="shared" si="2"/>
        <v>1111</v>
      </c>
      <c r="D19" s="43">
        <v>48</v>
      </c>
      <c r="E19" s="43">
        <v>785</v>
      </c>
      <c r="F19" s="43">
        <v>2045</v>
      </c>
      <c r="G19" s="43">
        <v>820</v>
      </c>
      <c r="H19" s="92">
        <f t="shared" si="3"/>
        <v>41</v>
      </c>
      <c r="I19" s="29"/>
      <c r="J19" s="43">
        <v>3739</v>
      </c>
    </row>
    <row r="20" spans="1:10" x14ac:dyDescent="0.2">
      <c r="A20" s="67">
        <v>38260</v>
      </c>
      <c r="B20" s="99">
        <v>2627</v>
      </c>
      <c r="C20" s="73">
        <f t="shared" si="2"/>
        <v>1120</v>
      </c>
      <c r="D20" s="43">
        <v>54</v>
      </c>
      <c r="E20" s="43">
        <v>790</v>
      </c>
      <c r="F20" s="43">
        <v>2027</v>
      </c>
      <c r="G20" s="43">
        <v>836</v>
      </c>
      <c r="H20" s="92">
        <f t="shared" si="3"/>
        <v>40</v>
      </c>
      <c r="I20" s="29"/>
      <c r="J20" s="43">
        <v>3747</v>
      </c>
    </row>
    <row r="21" spans="1:10" x14ac:dyDescent="0.2">
      <c r="A21" s="67">
        <v>38352</v>
      </c>
      <c r="B21" s="99">
        <v>2634</v>
      </c>
      <c r="C21" s="73">
        <f t="shared" si="2"/>
        <v>1121</v>
      </c>
      <c r="D21" s="43">
        <v>52</v>
      </c>
      <c r="E21" s="43">
        <v>782</v>
      </c>
      <c r="F21" s="43">
        <v>2029</v>
      </c>
      <c r="G21" s="43">
        <v>851</v>
      </c>
      <c r="H21" s="92">
        <f t="shared" si="3"/>
        <v>41</v>
      </c>
      <c r="I21" s="29"/>
      <c r="J21" s="43">
        <v>3755</v>
      </c>
    </row>
    <row r="22" spans="1:10" x14ac:dyDescent="0.2">
      <c r="A22" s="67">
        <v>38442</v>
      </c>
      <c r="B22" s="99">
        <v>2633</v>
      </c>
      <c r="C22" s="73">
        <f t="shared" ref="C22:C27" si="4">J22-B22</f>
        <v>1129</v>
      </c>
      <c r="D22" s="43">
        <v>52</v>
      </c>
      <c r="E22" s="43">
        <v>788</v>
      </c>
      <c r="F22" s="43">
        <v>2006</v>
      </c>
      <c r="G22" s="43">
        <v>873</v>
      </c>
      <c r="H22" s="92">
        <f t="shared" ref="H22:H27" si="5">J22-D22-E22-F22-G22</f>
        <v>43</v>
      </c>
      <c r="I22" s="29"/>
      <c r="J22" s="43">
        <v>3762</v>
      </c>
    </row>
    <row r="23" spans="1:10" x14ac:dyDescent="0.2">
      <c r="A23" s="67">
        <v>38533</v>
      </c>
      <c r="B23" s="99">
        <v>2637</v>
      </c>
      <c r="C23" s="73">
        <f t="shared" si="4"/>
        <v>1130</v>
      </c>
      <c r="D23" s="43">
        <v>50</v>
      </c>
      <c r="E23" s="43">
        <v>773</v>
      </c>
      <c r="F23" s="43">
        <v>1996</v>
      </c>
      <c r="G23" s="43">
        <v>900</v>
      </c>
      <c r="H23" s="92">
        <f t="shared" si="5"/>
        <v>48</v>
      </c>
      <c r="I23" s="29"/>
      <c r="J23" s="43">
        <v>3767</v>
      </c>
    </row>
    <row r="24" spans="1:10" x14ac:dyDescent="0.2">
      <c r="A24" s="67">
        <v>38625</v>
      </c>
      <c r="B24" s="99">
        <v>2624</v>
      </c>
      <c r="C24" s="73">
        <f t="shared" si="4"/>
        <v>1141</v>
      </c>
      <c r="D24" s="43">
        <v>54</v>
      </c>
      <c r="E24" s="43">
        <v>772</v>
      </c>
      <c r="F24" s="43">
        <v>1977</v>
      </c>
      <c r="G24" s="43">
        <v>921</v>
      </c>
      <c r="H24" s="92">
        <f t="shared" si="5"/>
        <v>41</v>
      </c>
      <c r="I24" s="29"/>
      <c r="J24" s="43">
        <v>3765</v>
      </c>
    </row>
    <row r="25" spans="1:10" x14ac:dyDescent="0.2">
      <c r="A25" s="67">
        <v>38717</v>
      </c>
      <c r="B25" s="99">
        <v>2612</v>
      </c>
      <c r="C25" s="73">
        <f t="shared" si="4"/>
        <v>1145</v>
      </c>
      <c r="D25" s="43">
        <v>44</v>
      </c>
      <c r="E25" s="43">
        <v>791</v>
      </c>
      <c r="F25" s="43">
        <v>1949</v>
      </c>
      <c r="G25" s="43">
        <v>932</v>
      </c>
      <c r="H25" s="92">
        <f t="shared" si="5"/>
        <v>41</v>
      </c>
      <c r="I25" s="29"/>
      <c r="J25" s="43">
        <v>3757</v>
      </c>
    </row>
    <row r="26" spans="1:10" x14ac:dyDescent="0.2">
      <c r="A26" s="67">
        <v>38807</v>
      </c>
      <c r="B26" s="99">
        <v>2614</v>
      </c>
      <c r="C26" s="73">
        <f t="shared" si="4"/>
        <v>1173</v>
      </c>
      <c r="D26" s="43">
        <v>55</v>
      </c>
      <c r="E26" s="43">
        <v>802</v>
      </c>
      <c r="F26" s="43">
        <v>1930</v>
      </c>
      <c r="G26" s="43">
        <v>957</v>
      </c>
      <c r="H26" s="92">
        <f t="shared" si="5"/>
        <v>43</v>
      </c>
      <c r="I26" s="29"/>
      <c r="J26" s="43">
        <v>3787</v>
      </c>
    </row>
    <row r="27" spans="1:10" x14ac:dyDescent="0.2">
      <c r="A27" s="67">
        <v>38898</v>
      </c>
      <c r="B27" s="99">
        <v>2620</v>
      </c>
      <c r="C27" s="73">
        <f t="shared" si="4"/>
        <v>1187</v>
      </c>
      <c r="D27" s="43">
        <v>54</v>
      </c>
      <c r="E27" s="43">
        <v>804</v>
      </c>
      <c r="F27" s="43">
        <v>1914</v>
      </c>
      <c r="G27" s="43">
        <v>986</v>
      </c>
      <c r="H27" s="92">
        <f t="shared" si="5"/>
        <v>49</v>
      </c>
      <c r="I27" s="29"/>
      <c r="J27" s="43">
        <v>3807</v>
      </c>
    </row>
    <row r="28" spans="1:10" x14ac:dyDescent="0.2">
      <c r="A28" s="67">
        <v>38990</v>
      </c>
      <c r="B28" s="99">
        <v>2631</v>
      </c>
      <c r="C28" s="73">
        <f t="shared" ref="C28:C33" si="6">J28-B28</f>
        <v>1197</v>
      </c>
      <c r="D28" s="43">
        <v>58</v>
      </c>
      <c r="E28" s="43">
        <v>825</v>
      </c>
      <c r="F28" s="43">
        <v>1895</v>
      </c>
      <c r="G28" s="43">
        <v>1006</v>
      </c>
      <c r="H28" s="92">
        <f t="shared" ref="H28:H33" si="7">J28-D28-E28-F28-G28</f>
        <v>44</v>
      </c>
      <c r="I28" s="29"/>
      <c r="J28" s="43">
        <v>3828</v>
      </c>
    </row>
    <row r="29" spans="1:10" x14ac:dyDescent="0.2">
      <c r="A29" s="67">
        <v>39082</v>
      </c>
      <c r="B29" s="99">
        <v>2637</v>
      </c>
      <c r="C29" s="73">
        <f t="shared" si="6"/>
        <v>1204</v>
      </c>
      <c r="D29" s="43">
        <v>56</v>
      </c>
      <c r="E29" s="43">
        <v>840</v>
      </c>
      <c r="F29" s="43">
        <v>1875</v>
      </c>
      <c r="G29" s="43">
        <v>1023</v>
      </c>
      <c r="H29" s="92">
        <f t="shared" si="7"/>
        <v>47</v>
      </c>
      <c r="I29" s="29"/>
      <c r="J29" s="43">
        <v>3841</v>
      </c>
    </row>
    <row r="30" spans="1:10" x14ac:dyDescent="0.2">
      <c r="A30" s="67">
        <v>39172</v>
      </c>
      <c r="B30" s="99">
        <v>2637</v>
      </c>
      <c r="C30" s="73">
        <f t="shared" si="6"/>
        <v>1214</v>
      </c>
      <c r="D30" s="43">
        <v>51</v>
      </c>
      <c r="E30" s="43">
        <v>852</v>
      </c>
      <c r="F30" s="43">
        <v>1858</v>
      </c>
      <c r="G30" s="43">
        <v>1041</v>
      </c>
      <c r="H30" s="92">
        <f t="shared" si="7"/>
        <v>49</v>
      </c>
      <c r="I30" s="29"/>
      <c r="J30" s="43">
        <v>3851</v>
      </c>
    </row>
    <row r="31" spans="1:10" x14ac:dyDescent="0.2">
      <c r="A31" s="67">
        <v>39263</v>
      </c>
      <c r="B31" s="99">
        <v>2633</v>
      </c>
      <c r="C31" s="73">
        <f t="shared" si="6"/>
        <v>1229</v>
      </c>
      <c r="D31" s="43">
        <v>55</v>
      </c>
      <c r="E31" s="43">
        <v>850</v>
      </c>
      <c r="F31" s="43">
        <v>1840</v>
      </c>
      <c r="G31" s="43">
        <v>1066</v>
      </c>
      <c r="H31" s="92">
        <f t="shared" si="7"/>
        <v>51</v>
      </c>
      <c r="I31" s="29"/>
      <c r="J31" s="43">
        <v>3862</v>
      </c>
    </row>
    <row r="32" spans="1:10" x14ac:dyDescent="0.2">
      <c r="A32" s="67">
        <v>39355</v>
      </c>
      <c r="B32" s="99">
        <v>2632</v>
      </c>
      <c r="C32" s="73">
        <f t="shared" si="6"/>
        <v>1236</v>
      </c>
      <c r="D32" s="43">
        <v>50</v>
      </c>
      <c r="E32" s="43">
        <v>875</v>
      </c>
      <c r="F32" s="43">
        <v>1811</v>
      </c>
      <c r="G32" s="43">
        <v>1082</v>
      </c>
      <c r="H32" s="92">
        <f t="shared" si="7"/>
        <v>50</v>
      </c>
      <c r="I32" s="29"/>
      <c r="J32" s="43">
        <v>3868</v>
      </c>
    </row>
    <row r="33" spans="1:11" x14ac:dyDescent="0.2">
      <c r="A33" s="67">
        <v>39447</v>
      </c>
      <c r="B33" s="99">
        <v>2638</v>
      </c>
      <c r="C33" s="73">
        <f t="shared" si="6"/>
        <v>1253</v>
      </c>
      <c r="D33" s="43">
        <v>55</v>
      </c>
      <c r="E33" s="43">
        <v>886</v>
      </c>
      <c r="F33" s="43">
        <v>1804</v>
      </c>
      <c r="G33" s="43">
        <v>1092</v>
      </c>
      <c r="H33" s="92">
        <f t="shared" si="7"/>
        <v>54</v>
      </c>
      <c r="I33" s="29"/>
      <c r="J33" s="43">
        <v>3891</v>
      </c>
    </row>
    <row r="34" spans="1:11" x14ac:dyDescent="0.2">
      <c r="A34" s="67">
        <v>39538</v>
      </c>
      <c r="B34" s="99">
        <v>2643</v>
      </c>
      <c r="C34" s="73">
        <f t="shared" ref="C34:C46" si="8">J34-B34</f>
        <v>1278</v>
      </c>
      <c r="D34" s="43">
        <v>53</v>
      </c>
      <c r="E34" s="43">
        <v>902</v>
      </c>
      <c r="F34" s="43">
        <v>1795</v>
      </c>
      <c r="G34" s="43">
        <v>1122</v>
      </c>
      <c r="H34" s="92">
        <f t="shared" ref="H34:H46" si="9">J34-D34-E34-F34-G34</f>
        <v>49</v>
      </c>
      <c r="I34" s="29"/>
      <c r="J34" s="43">
        <v>3921</v>
      </c>
      <c r="K34" s="25"/>
    </row>
    <row r="35" spans="1:11" x14ac:dyDescent="0.2">
      <c r="A35" s="67">
        <v>39629</v>
      </c>
      <c r="B35" s="99">
        <v>2633</v>
      </c>
      <c r="C35" s="73">
        <f t="shared" si="8"/>
        <v>1296</v>
      </c>
      <c r="D35" s="43">
        <v>52</v>
      </c>
      <c r="E35" s="43">
        <v>903</v>
      </c>
      <c r="F35" s="43">
        <v>1759</v>
      </c>
      <c r="G35" s="43">
        <v>1158</v>
      </c>
      <c r="H35" s="92">
        <f t="shared" si="9"/>
        <v>57</v>
      </c>
      <c r="I35" s="29"/>
      <c r="J35" s="43">
        <v>3929</v>
      </c>
      <c r="K35" s="25"/>
    </row>
    <row r="36" spans="1:11" x14ac:dyDescent="0.2">
      <c r="A36" s="67">
        <v>39721</v>
      </c>
      <c r="B36" s="99">
        <v>2643</v>
      </c>
      <c r="C36" s="73">
        <f t="shared" si="8"/>
        <v>1323</v>
      </c>
      <c r="D36" s="43">
        <v>53</v>
      </c>
      <c r="E36" s="43">
        <v>911</v>
      </c>
      <c r="F36" s="43">
        <v>1761</v>
      </c>
      <c r="G36" s="43">
        <v>1181</v>
      </c>
      <c r="H36" s="92">
        <f t="shared" si="9"/>
        <v>60</v>
      </c>
      <c r="I36" s="29"/>
      <c r="J36" s="43">
        <v>3966</v>
      </c>
      <c r="K36" s="25"/>
    </row>
    <row r="37" spans="1:11" x14ac:dyDescent="0.2">
      <c r="A37" s="67">
        <v>39813</v>
      </c>
      <c r="B37" s="99">
        <v>2632</v>
      </c>
      <c r="C37" s="73">
        <f t="shared" si="8"/>
        <v>1337</v>
      </c>
      <c r="D37" s="43">
        <v>61</v>
      </c>
      <c r="E37" s="43">
        <v>932</v>
      </c>
      <c r="F37" s="43">
        <v>1714</v>
      </c>
      <c r="G37" s="43">
        <v>1196</v>
      </c>
      <c r="H37" s="92">
        <f t="shared" si="9"/>
        <v>66</v>
      </c>
      <c r="I37" s="29"/>
      <c r="J37" s="43">
        <v>3969</v>
      </c>
      <c r="K37" s="25"/>
    </row>
    <row r="38" spans="1:11" x14ac:dyDescent="0.2">
      <c r="A38" s="67">
        <v>39903</v>
      </c>
      <c r="B38" s="99">
        <v>2640</v>
      </c>
      <c r="C38" s="73">
        <f t="shared" si="8"/>
        <v>1364</v>
      </c>
      <c r="D38" s="43">
        <v>59</v>
      </c>
      <c r="E38" s="43">
        <v>946</v>
      </c>
      <c r="F38" s="43">
        <v>1723</v>
      </c>
      <c r="G38" s="43">
        <v>1207</v>
      </c>
      <c r="H38" s="92">
        <f t="shared" si="9"/>
        <v>69</v>
      </c>
      <c r="I38" s="29"/>
      <c r="J38" s="43">
        <v>4004</v>
      </c>
      <c r="K38" s="25"/>
    </row>
    <row r="39" spans="1:11" x14ac:dyDescent="0.2">
      <c r="A39" s="67">
        <v>39994</v>
      </c>
      <c r="B39" s="99">
        <v>2633</v>
      </c>
      <c r="C39" s="73">
        <f t="shared" si="8"/>
        <v>1378</v>
      </c>
      <c r="D39" s="43">
        <f>33+26</f>
        <v>59</v>
      </c>
      <c r="E39" s="43">
        <f>438+512</f>
        <v>950</v>
      </c>
      <c r="F39" s="43">
        <f>660+1039</f>
        <v>1699</v>
      </c>
      <c r="G39" s="43">
        <f>232+999</f>
        <v>1231</v>
      </c>
      <c r="H39" s="92">
        <f t="shared" si="9"/>
        <v>72</v>
      </c>
      <c r="I39" s="29"/>
      <c r="J39" s="43">
        <v>4011</v>
      </c>
      <c r="K39" s="25"/>
    </row>
    <row r="40" spans="1:11" x14ac:dyDescent="0.2">
      <c r="A40" s="67">
        <v>40086</v>
      </c>
      <c r="B40" s="99">
        <v>2641</v>
      </c>
      <c r="C40" s="73">
        <f t="shared" si="8"/>
        <v>1392</v>
      </c>
      <c r="D40" s="43">
        <f>31+31</f>
        <v>62</v>
      </c>
      <c r="E40" s="43">
        <f>444+512</f>
        <v>956</v>
      </c>
      <c r="F40" s="43">
        <f>662+1030</f>
        <v>1692</v>
      </c>
      <c r="G40" s="43">
        <f>241+1012</f>
        <v>1253</v>
      </c>
      <c r="H40" s="92">
        <f t="shared" si="9"/>
        <v>70</v>
      </c>
      <c r="I40" s="29"/>
      <c r="J40" s="43">
        <v>4033</v>
      </c>
      <c r="K40" s="25"/>
    </row>
    <row r="41" spans="1:11" x14ac:dyDescent="0.2">
      <c r="A41" s="67">
        <v>40178</v>
      </c>
      <c r="B41" s="99">
        <v>2642</v>
      </c>
      <c r="C41" s="73">
        <f t="shared" si="8"/>
        <v>1407</v>
      </c>
      <c r="D41" s="43">
        <f>25+31</f>
        <v>56</v>
      </c>
      <c r="E41" s="43">
        <f>453+516</f>
        <v>969</v>
      </c>
      <c r="F41" s="43">
        <f>663+1011</f>
        <v>1674</v>
      </c>
      <c r="G41" s="43">
        <f>250+1023</f>
        <v>1273</v>
      </c>
      <c r="H41" s="92">
        <f t="shared" si="9"/>
        <v>77</v>
      </c>
      <c r="I41" s="29"/>
      <c r="J41" s="43">
        <v>4049</v>
      </c>
      <c r="K41" s="25"/>
    </row>
    <row r="42" spans="1:11" x14ac:dyDescent="0.2">
      <c r="A42" s="67">
        <v>40268</v>
      </c>
      <c r="B42" s="99">
        <v>2649</v>
      </c>
      <c r="C42" s="73">
        <f t="shared" si="8"/>
        <v>1420</v>
      </c>
      <c r="D42" s="43">
        <f>26+27</f>
        <v>53</v>
      </c>
      <c r="E42" s="43">
        <f>466+528</f>
        <v>994</v>
      </c>
      <c r="F42" s="43">
        <f>661+990</f>
        <v>1651</v>
      </c>
      <c r="G42" s="43">
        <f>254+1042</f>
        <v>1296</v>
      </c>
      <c r="H42" s="92">
        <f t="shared" si="9"/>
        <v>75</v>
      </c>
      <c r="I42" s="29"/>
      <c r="J42" s="43">
        <v>4069</v>
      </c>
      <c r="K42" s="25"/>
    </row>
    <row r="43" spans="1:11" x14ac:dyDescent="0.2">
      <c r="A43" s="67">
        <v>40359</v>
      </c>
      <c r="B43" s="99">
        <v>2658</v>
      </c>
      <c r="C43" s="73">
        <f t="shared" si="8"/>
        <v>1429</v>
      </c>
      <c r="D43" s="43">
        <f>29+26</f>
        <v>55</v>
      </c>
      <c r="E43" s="43">
        <f>462+539</f>
        <v>1001</v>
      </c>
      <c r="F43" s="43">
        <f>663+976</f>
        <v>1639</v>
      </c>
      <c r="G43" s="43">
        <f>265+1049</f>
        <v>1314</v>
      </c>
      <c r="H43" s="92">
        <f t="shared" si="9"/>
        <v>78</v>
      </c>
      <c r="I43" s="29"/>
      <c r="J43" s="43">
        <v>4087</v>
      </c>
      <c r="K43" s="25"/>
    </row>
    <row r="44" spans="1:11" x14ac:dyDescent="0.2">
      <c r="A44" s="67">
        <v>40451</v>
      </c>
      <c r="B44" s="99">
        <v>2657</v>
      </c>
      <c r="C44" s="73">
        <f t="shared" si="8"/>
        <v>1450</v>
      </c>
      <c r="D44" s="43">
        <f>28+26</f>
        <v>54</v>
      </c>
      <c r="E44" s="43">
        <f>477+544</f>
        <v>1021</v>
      </c>
      <c r="F44" s="43">
        <f>665+965</f>
        <v>1630</v>
      </c>
      <c r="G44" s="43">
        <f>272+1055</f>
        <v>1327</v>
      </c>
      <c r="H44" s="92">
        <f t="shared" si="9"/>
        <v>75</v>
      </c>
      <c r="I44" s="29"/>
      <c r="J44" s="43">
        <v>4107</v>
      </c>
      <c r="K44" s="25"/>
    </row>
    <row r="45" spans="1:11" x14ac:dyDescent="0.2">
      <c r="A45" s="67">
        <v>40543</v>
      </c>
      <c r="B45" s="99">
        <v>2651</v>
      </c>
      <c r="C45" s="73">
        <f t="shared" si="8"/>
        <v>1458</v>
      </c>
      <c r="D45" s="43">
        <f>22+21</f>
        <v>43</v>
      </c>
      <c r="E45" s="43">
        <f>479+544</f>
        <v>1023</v>
      </c>
      <c r="F45" s="43">
        <f>667+945</f>
        <v>1612</v>
      </c>
      <c r="G45" s="43">
        <f>282+1068</f>
        <v>1350</v>
      </c>
      <c r="H45" s="92">
        <f t="shared" si="9"/>
        <v>81</v>
      </c>
      <c r="I45" s="29"/>
      <c r="J45" s="43">
        <v>4109</v>
      </c>
      <c r="K45" s="25"/>
    </row>
    <row r="46" spans="1:11" x14ac:dyDescent="0.2">
      <c r="A46" s="67">
        <v>40633</v>
      </c>
      <c r="B46" s="99">
        <v>2664</v>
      </c>
      <c r="C46" s="73">
        <f t="shared" si="8"/>
        <v>1474</v>
      </c>
      <c r="D46" s="43">
        <f>23+21</f>
        <v>44</v>
      </c>
      <c r="E46" s="43">
        <f>491+551</f>
        <v>1042</v>
      </c>
      <c r="F46" s="43">
        <f>663+947</f>
        <v>1610</v>
      </c>
      <c r="G46" s="43">
        <f>289+1068</f>
        <v>1357</v>
      </c>
      <c r="H46" s="92">
        <f t="shared" si="9"/>
        <v>85</v>
      </c>
      <c r="I46" s="29"/>
      <c r="J46" s="43">
        <v>4138</v>
      </c>
      <c r="K46" s="25"/>
    </row>
    <row r="47" spans="1:11" x14ac:dyDescent="0.2">
      <c r="A47" s="67">
        <v>40724</v>
      </c>
      <c r="B47" s="99">
        <v>2664</v>
      </c>
      <c r="C47" s="73">
        <f t="shared" ref="C47:C53" si="10">J47-B47</f>
        <v>1498</v>
      </c>
      <c r="D47" s="43">
        <f>26+24</f>
        <v>50</v>
      </c>
      <c r="E47" s="43">
        <f>491+556</f>
        <v>1047</v>
      </c>
      <c r="F47" s="43">
        <f>676+929</f>
        <v>1605</v>
      </c>
      <c r="G47" s="43">
        <f>298+1072</f>
        <v>1370</v>
      </c>
      <c r="H47" s="92">
        <f t="shared" ref="H47:H53" si="11">J47-D47-E47-F47-G47</f>
        <v>90</v>
      </c>
      <c r="I47" s="29"/>
      <c r="J47" s="43">
        <v>4162</v>
      </c>
      <c r="K47" s="25"/>
    </row>
    <row r="48" spans="1:11" x14ac:dyDescent="0.2">
      <c r="A48" s="67">
        <v>40816</v>
      </c>
      <c r="B48" s="99">
        <v>2668</v>
      </c>
      <c r="C48" s="73">
        <f t="shared" si="10"/>
        <v>1511</v>
      </c>
      <c r="D48" s="43">
        <f>28+25</f>
        <v>53</v>
      </c>
      <c r="E48" s="43">
        <f>496+561</f>
        <v>1057</v>
      </c>
      <c r="F48" s="43">
        <f>675+917</f>
        <v>1592</v>
      </c>
      <c r="G48" s="43">
        <f>305+1072</f>
        <v>1377</v>
      </c>
      <c r="H48" s="92">
        <f t="shared" si="11"/>
        <v>100</v>
      </c>
      <c r="I48" s="29"/>
      <c r="J48" s="43">
        <v>4179</v>
      </c>
      <c r="K48" s="25"/>
    </row>
    <row r="49" spans="1:11" x14ac:dyDescent="0.2">
      <c r="A49" s="67">
        <v>40908</v>
      </c>
      <c r="B49" s="99">
        <v>2661</v>
      </c>
      <c r="C49" s="73">
        <f t="shared" si="10"/>
        <v>1528</v>
      </c>
      <c r="D49" s="43">
        <f>25+22</f>
        <v>47</v>
      </c>
      <c r="E49" s="43">
        <f>504+560</f>
        <v>1064</v>
      </c>
      <c r="F49" s="43">
        <f>679+909</f>
        <v>1588</v>
      </c>
      <c r="G49" s="43">
        <f>312+1075</f>
        <v>1387</v>
      </c>
      <c r="H49" s="92">
        <f t="shared" si="11"/>
        <v>103</v>
      </c>
      <c r="I49" s="29"/>
      <c r="J49" s="43">
        <v>4189</v>
      </c>
      <c r="K49" s="25"/>
    </row>
    <row r="50" spans="1:11" x14ac:dyDescent="0.2">
      <c r="A50" s="67">
        <v>40999</v>
      </c>
      <c r="B50" s="99">
        <v>2676</v>
      </c>
      <c r="C50" s="73">
        <f t="shared" si="10"/>
        <v>1543</v>
      </c>
      <c r="D50" s="43">
        <f>22+24</f>
        <v>46</v>
      </c>
      <c r="E50" s="43">
        <f>513+573</f>
        <v>1086</v>
      </c>
      <c r="F50" s="43">
        <f>688+910</f>
        <v>1598</v>
      </c>
      <c r="G50" s="43">
        <f>311+1075</f>
        <v>1386</v>
      </c>
      <c r="H50" s="92">
        <f t="shared" si="11"/>
        <v>103</v>
      </c>
      <c r="I50" s="29"/>
      <c r="J50" s="43">
        <v>4219</v>
      </c>
      <c r="K50" s="25"/>
    </row>
    <row r="51" spans="1:11" x14ac:dyDescent="0.2">
      <c r="A51" s="67">
        <v>41090</v>
      </c>
      <c r="B51" s="99">
        <v>2675</v>
      </c>
      <c r="C51" s="73">
        <f t="shared" si="10"/>
        <v>1565</v>
      </c>
      <c r="D51" s="43">
        <f>21+26</f>
        <v>47</v>
      </c>
      <c r="E51" s="43">
        <f>527+567</f>
        <v>1094</v>
      </c>
      <c r="F51" s="43">
        <f>686+909</f>
        <v>1595</v>
      </c>
      <c r="G51" s="43">
        <f>321+1071</f>
        <v>1392</v>
      </c>
      <c r="H51" s="92">
        <f t="shared" si="11"/>
        <v>112</v>
      </c>
      <c r="I51" s="29"/>
      <c r="J51" s="43">
        <v>4240</v>
      </c>
      <c r="K51" s="25"/>
    </row>
    <row r="52" spans="1:11" x14ac:dyDescent="0.2">
      <c r="A52" s="67">
        <v>41182</v>
      </c>
      <c r="B52" s="99">
        <v>2670</v>
      </c>
      <c r="C52" s="73">
        <f t="shared" si="10"/>
        <v>1587</v>
      </c>
      <c r="D52" s="43">
        <f>27+27</f>
        <v>54</v>
      </c>
      <c r="E52" s="43">
        <f>533+569</f>
        <v>1102</v>
      </c>
      <c r="F52" s="43">
        <f>692+896</f>
        <v>1588</v>
      </c>
      <c r="G52" s="43">
        <f>320+1074</f>
        <v>1394</v>
      </c>
      <c r="H52" s="92">
        <f t="shared" si="11"/>
        <v>119</v>
      </c>
      <c r="I52" s="29"/>
      <c r="J52" s="43">
        <v>4257</v>
      </c>
      <c r="K52" s="25"/>
    </row>
    <row r="53" spans="1:11" x14ac:dyDescent="0.2">
      <c r="A53" s="67">
        <v>41274</v>
      </c>
      <c r="B53" s="99">
        <v>2672</v>
      </c>
      <c r="C53" s="73">
        <f t="shared" si="10"/>
        <v>1607</v>
      </c>
      <c r="D53" s="43">
        <f>32+32</f>
        <v>64</v>
      </c>
      <c r="E53" s="43">
        <f>537+575</f>
        <v>1112</v>
      </c>
      <c r="F53" s="43">
        <f>698+893</f>
        <v>1591</v>
      </c>
      <c r="G53" s="43">
        <f>328+1072</f>
        <v>1400</v>
      </c>
      <c r="H53" s="92">
        <f t="shared" si="11"/>
        <v>112</v>
      </c>
      <c r="I53" s="29"/>
      <c r="J53" s="43">
        <v>4279</v>
      </c>
      <c r="K53" s="25"/>
    </row>
    <row r="54" spans="1:11" x14ac:dyDescent="0.2">
      <c r="A54" s="67">
        <v>41364</v>
      </c>
      <c r="B54" s="99">
        <v>2666</v>
      </c>
      <c r="C54" s="73">
        <f t="shared" ref="C54:C59" si="12">J54-B54</f>
        <v>1627</v>
      </c>
      <c r="D54" s="43">
        <f>34+29</f>
        <v>63</v>
      </c>
      <c r="E54" s="43">
        <f>548+567</f>
        <v>1115</v>
      </c>
      <c r="F54" s="43">
        <f>697+900</f>
        <v>1597</v>
      </c>
      <c r="G54" s="43">
        <f>335+1075</f>
        <v>1410</v>
      </c>
      <c r="H54" s="92">
        <f t="shared" ref="H54:H59" si="13">J54-D54-E54-F54-G54</f>
        <v>108</v>
      </c>
      <c r="I54" s="29"/>
      <c r="J54" s="43">
        <v>4293</v>
      </c>
      <c r="K54" s="25"/>
    </row>
    <row r="55" spans="1:11" x14ac:dyDescent="0.2">
      <c r="A55" s="67">
        <v>41455</v>
      </c>
      <c r="B55" s="99">
        <v>2680</v>
      </c>
      <c r="C55" s="73">
        <f t="shared" si="12"/>
        <v>1636</v>
      </c>
      <c r="D55" s="43">
        <f>35+28</f>
        <v>63</v>
      </c>
      <c r="E55" s="43">
        <f>538+577</f>
        <v>1115</v>
      </c>
      <c r="F55" s="43">
        <f>709+900</f>
        <v>1609</v>
      </c>
      <c r="G55" s="43">
        <f>340+1078</f>
        <v>1418</v>
      </c>
      <c r="H55" s="92">
        <f t="shared" si="13"/>
        <v>111</v>
      </c>
      <c r="I55" s="29"/>
      <c r="J55" s="43">
        <v>4316</v>
      </c>
      <c r="K55" s="25"/>
    </row>
    <row r="56" spans="1:11" x14ac:dyDescent="0.2">
      <c r="A56" s="67">
        <v>41547</v>
      </c>
      <c r="B56" s="99">
        <v>2695</v>
      </c>
      <c r="C56" s="73">
        <f t="shared" si="12"/>
        <v>1668</v>
      </c>
      <c r="D56" s="43">
        <f>37+36</f>
        <v>73</v>
      </c>
      <c r="E56" s="43">
        <f>554+589</f>
        <v>1143</v>
      </c>
      <c r="F56" s="43">
        <f>718+901</f>
        <v>1619</v>
      </c>
      <c r="G56" s="43">
        <f>343+1072</f>
        <v>1415</v>
      </c>
      <c r="H56" s="92">
        <f t="shared" si="13"/>
        <v>113</v>
      </c>
      <c r="I56" s="29"/>
      <c r="J56" s="43">
        <v>4363</v>
      </c>
      <c r="K56" s="25"/>
    </row>
    <row r="57" spans="1:11" x14ac:dyDescent="0.2">
      <c r="A57" s="67">
        <v>41639</v>
      </c>
      <c r="B57" s="99">
        <v>2694</v>
      </c>
      <c r="C57" s="73">
        <f t="shared" si="12"/>
        <v>1693</v>
      </c>
      <c r="D57" s="43">
        <f>40+41</f>
        <v>81</v>
      </c>
      <c r="E57" s="43">
        <f>574+592</f>
        <v>1166</v>
      </c>
      <c r="F57" s="43">
        <f>715+898</f>
        <v>1613</v>
      </c>
      <c r="G57" s="43">
        <f>347+1061</f>
        <v>1408</v>
      </c>
      <c r="H57" s="92">
        <f t="shared" si="13"/>
        <v>119</v>
      </c>
      <c r="I57" s="29"/>
      <c r="J57" s="43">
        <v>4387</v>
      </c>
      <c r="K57" s="25"/>
    </row>
    <row r="58" spans="1:11" x14ac:dyDescent="0.2">
      <c r="A58" s="67">
        <v>41729</v>
      </c>
      <c r="B58" s="99">
        <v>2704</v>
      </c>
      <c r="C58" s="73">
        <f t="shared" si="12"/>
        <v>1726</v>
      </c>
      <c r="D58" s="43">
        <f>49+44</f>
        <v>93</v>
      </c>
      <c r="E58" s="43">
        <f>594+598</f>
        <v>1192</v>
      </c>
      <c r="F58" s="43">
        <f>714+903</f>
        <v>1617</v>
      </c>
      <c r="G58" s="43">
        <f>352+1059</f>
        <v>1411</v>
      </c>
      <c r="H58" s="92">
        <f t="shared" si="13"/>
        <v>117</v>
      </c>
      <c r="I58" s="29"/>
      <c r="J58" s="43">
        <v>4430</v>
      </c>
      <c r="K58" s="25"/>
    </row>
    <row r="59" spans="1:11" x14ac:dyDescent="0.2">
      <c r="A59" s="67">
        <v>41820</v>
      </c>
      <c r="B59" s="99">
        <v>2714</v>
      </c>
      <c r="C59" s="73">
        <f t="shared" si="12"/>
        <v>1761</v>
      </c>
      <c r="D59" s="43">
        <f>51+39</f>
        <v>90</v>
      </c>
      <c r="E59" s="43">
        <f>610+600</f>
        <v>1210</v>
      </c>
      <c r="F59" s="43">
        <f>717+923</f>
        <v>1640</v>
      </c>
      <c r="G59" s="43">
        <f>361+1050</f>
        <v>1411</v>
      </c>
      <c r="H59" s="92">
        <f t="shared" si="13"/>
        <v>124</v>
      </c>
      <c r="I59" s="29"/>
      <c r="J59" s="43">
        <v>4475</v>
      </c>
      <c r="K59" s="25"/>
    </row>
    <row r="60" spans="1:11" x14ac:dyDescent="0.2">
      <c r="A60" s="67">
        <v>41912</v>
      </c>
      <c r="B60" s="99">
        <v>2711</v>
      </c>
      <c r="C60" s="73">
        <f t="shared" ref="C60:C65" si="14">J60-B60</f>
        <v>1784</v>
      </c>
      <c r="D60" s="43">
        <f>44+39</f>
        <v>83</v>
      </c>
      <c r="E60" s="43">
        <f>627+611</f>
        <v>1238</v>
      </c>
      <c r="F60" s="43">
        <f>729+930</f>
        <v>1659</v>
      </c>
      <c r="G60" s="43">
        <f>361+1030</f>
        <v>1391</v>
      </c>
      <c r="H60" s="92">
        <f t="shared" ref="H60:H65" si="15">J60-D60-E60-F60-G60</f>
        <v>124</v>
      </c>
      <c r="I60" s="29"/>
      <c r="J60" s="43">
        <v>4495</v>
      </c>
      <c r="K60" s="25"/>
    </row>
    <row r="61" spans="1:11" x14ac:dyDescent="0.2">
      <c r="A61" s="67">
        <v>42004</v>
      </c>
      <c r="B61" s="99">
        <v>2712</v>
      </c>
      <c r="C61" s="73">
        <f t="shared" si="14"/>
        <v>1800</v>
      </c>
      <c r="D61" s="43">
        <f>42+36</f>
        <v>78</v>
      </c>
      <c r="E61" s="43">
        <f>631+615</f>
        <v>1246</v>
      </c>
      <c r="F61" s="43">
        <f>740+928</f>
        <v>1668</v>
      </c>
      <c r="G61" s="43">
        <f>361+1026</f>
        <v>1387</v>
      </c>
      <c r="H61" s="92">
        <f t="shared" si="15"/>
        <v>133</v>
      </c>
      <c r="I61" s="29"/>
      <c r="J61" s="43">
        <v>4512</v>
      </c>
      <c r="K61" s="25"/>
    </row>
    <row r="62" spans="1:11" x14ac:dyDescent="0.2">
      <c r="A62" s="67">
        <v>42094</v>
      </c>
      <c r="B62" s="99">
        <v>2723</v>
      </c>
      <c r="C62" s="73">
        <f t="shared" si="14"/>
        <v>1814</v>
      </c>
      <c r="D62" s="43">
        <f>27+17</f>
        <v>44</v>
      </c>
      <c r="E62" s="43">
        <f>591+595</f>
        <v>1186</v>
      </c>
      <c r="F62" s="43">
        <f>779+914</f>
        <v>1693</v>
      </c>
      <c r="G62" s="43">
        <f>384+1034</f>
        <v>1418</v>
      </c>
      <c r="H62" s="92">
        <f t="shared" si="15"/>
        <v>196</v>
      </c>
      <c r="I62" s="29"/>
      <c r="J62" s="43">
        <v>4537</v>
      </c>
      <c r="K62" s="25"/>
    </row>
    <row r="63" spans="1:11" x14ac:dyDescent="0.2">
      <c r="A63" s="67">
        <v>42185</v>
      </c>
      <c r="B63" s="99">
        <v>2734</v>
      </c>
      <c r="C63" s="73">
        <f t="shared" si="14"/>
        <v>1829</v>
      </c>
      <c r="D63" s="43">
        <f>28+21</f>
        <v>49</v>
      </c>
      <c r="E63" s="43">
        <f>610+614</f>
        <v>1224</v>
      </c>
      <c r="F63" s="43">
        <f>777+915</f>
        <v>1692</v>
      </c>
      <c r="G63" s="43">
        <f>381+1031</f>
        <v>1412</v>
      </c>
      <c r="H63" s="92">
        <f t="shared" si="15"/>
        <v>186</v>
      </c>
      <c r="I63" s="29"/>
      <c r="J63" s="43">
        <v>4563</v>
      </c>
      <c r="K63" s="25"/>
    </row>
    <row r="64" spans="1:11" x14ac:dyDescent="0.2">
      <c r="A64" s="67">
        <v>42277</v>
      </c>
      <c r="B64" s="99">
        <v>2723</v>
      </c>
      <c r="C64" s="73">
        <f t="shared" si="14"/>
        <v>1850</v>
      </c>
      <c r="D64" s="43">
        <f>35+30</f>
        <v>65</v>
      </c>
      <c r="E64" s="43">
        <f>633+624</f>
        <v>1257</v>
      </c>
      <c r="F64" s="43">
        <f>776+912</f>
        <v>1688</v>
      </c>
      <c r="G64" s="43">
        <f>378+1023</f>
        <v>1401</v>
      </c>
      <c r="H64" s="92">
        <f t="shared" si="15"/>
        <v>162</v>
      </c>
      <c r="I64" s="29"/>
      <c r="J64" s="43">
        <v>4573</v>
      </c>
      <c r="K64" s="25"/>
    </row>
    <row r="65" spans="1:11" x14ac:dyDescent="0.2">
      <c r="A65" s="67">
        <v>42369</v>
      </c>
      <c r="B65" s="99">
        <v>2712</v>
      </c>
      <c r="C65" s="73">
        <f t="shared" si="14"/>
        <v>1873</v>
      </c>
      <c r="D65" s="43">
        <f>40+39</f>
        <v>79</v>
      </c>
      <c r="E65" s="43">
        <f>656+622</f>
        <v>1278</v>
      </c>
      <c r="F65" s="43">
        <f>772+906</f>
        <v>1678</v>
      </c>
      <c r="G65" s="43">
        <f>378+1020</f>
        <v>1398</v>
      </c>
      <c r="H65" s="92">
        <f t="shared" si="15"/>
        <v>152</v>
      </c>
      <c r="I65" s="29"/>
      <c r="J65" s="43">
        <v>4585</v>
      </c>
      <c r="K65" s="25"/>
    </row>
    <row r="66" spans="1:11" x14ac:dyDescent="0.2">
      <c r="A66" s="67">
        <v>42460</v>
      </c>
      <c r="B66" s="99">
        <v>2718</v>
      </c>
      <c r="C66" s="73">
        <f t="shared" ref="C66:C71" si="16">J66-B66</f>
        <v>1888</v>
      </c>
      <c r="D66" s="43">
        <f>21+25</f>
        <v>46</v>
      </c>
      <c r="E66" s="43">
        <f>621+576</f>
        <v>1197</v>
      </c>
      <c r="F66" s="43">
        <f>801+927</f>
        <v>1728</v>
      </c>
      <c r="G66" s="43">
        <f>409+1010</f>
        <v>1419</v>
      </c>
      <c r="H66" s="92">
        <f t="shared" ref="H66:H71" si="17">J66-D66-E66-F66-G66</f>
        <v>216</v>
      </c>
      <c r="I66" s="29"/>
      <c r="J66" s="43">
        <v>4606</v>
      </c>
      <c r="K66" s="25"/>
    </row>
    <row r="67" spans="1:11" x14ac:dyDescent="0.2">
      <c r="A67" s="67">
        <v>42551</v>
      </c>
      <c r="B67" s="99">
        <v>2720</v>
      </c>
      <c r="C67" s="73">
        <f t="shared" si="16"/>
        <v>1923</v>
      </c>
      <c r="D67" s="43">
        <v>57</v>
      </c>
      <c r="E67" s="43">
        <v>1247</v>
      </c>
      <c r="F67" s="43">
        <v>1731</v>
      </c>
      <c r="G67" s="43">
        <v>1409</v>
      </c>
      <c r="H67" s="92">
        <f t="shared" si="17"/>
        <v>199</v>
      </c>
      <c r="I67" s="29"/>
      <c r="J67" s="43">
        <v>4643</v>
      </c>
      <c r="K67" s="25"/>
    </row>
    <row r="68" spans="1:11" x14ac:dyDescent="0.2">
      <c r="A68" s="67">
        <v>42643</v>
      </c>
      <c r="B68" s="99">
        <v>2730</v>
      </c>
      <c r="C68" s="73">
        <f t="shared" si="16"/>
        <v>1934</v>
      </c>
      <c r="D68" s="43">
        <v>67</v>
      </c>
      <c r="E68" s="43">
        <v>1297</v>
      </c>
      <c r="F68" s="43">
        <v>1726</v>
      </c>
      <c r="G68" s="43">
        <v>1391</v>
      </c>
      <c r="H68" s="92">
        <f t="shared" si="17"/>
        <v>183</v>
      </c>
      <c r="I68" s="29"/>
      <c r="J68" s="43">
        <v>4664</v>
      </c>
      <c r="K68" s="25"/>
    </row>
    <row r="69" spans="1:11" x14ac:dyDescent="0.2">
      <c r="A69" s="67">
        <v>42735</v>
      </c>
      <c r="B69" s="99">
        <v>2709</v>
      </c>
      <c r="C69" s="73">
        <f t="shared" si="16"/>
        <v>1935</v>
      </c>
      <c r="D69" s="43">
        <v>83</v>
      </c>
      <c r="E69" s="43">
        <v>1298</v>
      </c>
      <c r="F69" s="43">
        <v>1716</v>
      </c>
      <c r="G69" s="43">
        <v>1379</v>
      </c>
      <c r="H69" s="92">
        <f t="shared" si="17"/>
        <v>168</v>
      </c>
      <c r="I69" s="29"/>
      <c r="J69" s="43">
        <v>4644</v>
      </c>
      <c r="K69" s="25"/>
    </row>
    <row r="70" spans="1:11" x14ac:dyDescent="0.2">
      <c r="A70" s="67">
        <v>42825</v>
      </c>
      <c r="B70" s="99">
        <v>2723</v>
      </c>
      <c r="C70" s="73">
        <f t="shared" si="16"/>
        <v>1943</v>
      </c>
      <c r="D70" s="43">
        <f>27+24</f>
        <v>51</v>
      </c>
      <c r="E70" s="43">
        <f>616+595</f>
        <v>1211</v>
      </c>
      <c r="F70" s="43">
        <f>846+940</f>
        <v>1786</v>
      </c>
      <c r="G70" s="43">
        <f>417+954</f>
        <v>1371</v>
      </c>
      <c r="H70" s="92">
        <f t="shared" si="17"/>
        <v>247</v>
      </c>
      <c r="I70" s="29"/>
      <c r="J70" s="43">
        <v>4666</v>
      </c>
      <c r="K70" s="25"/>
    </row>
    <row r="71" spans="1:11" x14ac:dyDescent="0.2">
      <c r="A71" s="67">
        <v>42916</v>
      </c>
      <c r="B71" s="99">
        <v>2725</v>
      </c>
      <c r="C71" s="73">
        <f t="shared" si="16"/>
        <v>1962</v>
      </c>
      <c r="D71" s="43">
        <f>37+31</f>
        <v>68</v>
      </c>
      <c r="E71" s="43">
        <f>633+615</f>
        <v>1248</v>
      </c>
      <c r="F71" s="43">
        <f>845+939</f>
        <v>1784</v>
      </c>
      <c r="G71" s="43">
        <f>415+947</f>
        <v>1362</v>
      </c>
      <c r="H71" s="92">
        <f t="shared" si="17"/>
        <v>225</v>
      </c>
      <c r="I71" s="29"/>
      <c r="J71" s="43">
        <v>4687</v>
      </c>
      <c r="K71" s="25"/>
    </row>
    <row r="72" spans="1:11" x14ac:dyDescent="0.2">
      <c r="A72" s="67">
        <v>43008</v>
      </c>
      <c r="B72" s="99">
        <v>2729</v>
      </c>
      <c r="C72" s="73">
        <f t="shared" ref="C72:C77" si="18">J72-B72</f>
        <v>1987</v>
      </c>
      <c r="D72" s="43">
        <f>50+36</f>
        <v>86</v>
      </c>
      <c r="E72" s="43">
        <f>649+640</f>
        <v>1289</v>
      </c>
      <c r="F72" s="43">
        <f>850+937</f>
        <v>1787</v>
      </c>
      <c r="G72" s="43">
        <f>409+943</f>
        <v>1352</v>
      </c>
      <c r="H72" s="92">
        <f t="shared" ref="H72:H77" si="19">J72-D72-E72-F72-G72</f>
        <v>202</v>
      </c>
      <c r="I72" s="29"/>
      <c r="J72" s="43">
        <v>4716</v>
      </c>
      <c r="K72" s="25"/>
    </row>
    <row r="73" spans="1:11" x14ac:dyDescent="0.2">
      <c r="A73" s="67">
        <v>43100</v>
      </c>
      <c r="B73" s="99">
        <v>2743</v>
      </c>
      <c r="C73" s="73">
        <f t="shared" si="18"/>
        <v>1997</v>
      </c>
      <c r="D73" s="43">
        <f>56+40</f>
        <v>96</v>
      </c>
      <c r="E73" s="43">
        <f>660+658</f>
        <v>1318</v>
      </c>
      <c r="F73" s="43">
        <f>850+941</f>
        <v>1791</v>
      </c>
      <c r="G73" s="43">
        <f>406+939</f>
        <v>1345</v>
      </c>
      <c r="H73" s="92">
        <f t="shared" si="19"/>
        <v>190</v>
      </c>
      <c r="I73" s="29"/>
      <c r="J73" s="43">
        <v>4740</v>
      </c>
      <c r="K73" s="25"/>
    </row>
    <row r="74" spans="1:11" x14ac:dyDescent="0.2">
      <c r="A74" s="67">
        <v>43190</v>
      </c>
      <c r="B74" s="99">
        <v>2734</v>
      </c>
      <c r="C74" s="73">
        <f t="shared" si="18"/>
        <v>2018</v>
      </c>
      <c r="D74" s="43">
        <f>33+28</f>
        <v>61</v>
      </c>
      <c r="E74" s="43">
        <f>627+607</f>
        <v>1234</v>
      </c>
      <c r="F74" s="43">
        <f>894+964</f>
        <v>1858</v>
      </c>
      <c r="G74" s="43">
        <f>429+913</f>
        <v>1342</v>
      </c>
      <c r="H74" s="92">
        <f t="shared" si="19"/>
        <v>257</v>
      </c>
      <c r="I74" s="29"/>
      <c r="J74" s="43">
        <v>4752</v>
      </c>
      <c r="K74" s="25"/>
    </row>
    <row r="75" spans="1:11" x14ac:dyDescent="0.2">
      <c r="A75" s="67">
        <v>43281</v>
      </c>
      <c r="B75" s="99">
        <v>2723</v>
      </c>
      <c r="C75" s="73">
        <f t="shared" si="18"/>
        <v>2030</v>
      </c>
      <c r="D75" s="43">
        <f>36+32</f>
        <v>68</v>
      </c>
      <c r="E75" s="43">
        <f>644+621</f>
        <v>1265</v>
      </c>
      <c r="F75" s="43">
        <f>889+966</f>
        <v>1855</v>
      </c>
      <c r="G75" s="43">
        <f>428+902</f>
        <v>1330</v>
      </c>
      <c r="H75" s="92">
        <f t="shared" si="19"/>
        <v>235</v>
      </c>
      <c r="I75" s="29"/>
      <c r="J75" s="43">
        <v>4753</v>
      </c>
      <c r="K75" s="25"/>
    </row>
    <row r="76" spans="1:11" x14ac:dyDescent="0.2">
      <c r="A76" s="67">
        <v>43373</v>
      </c>
      <c r="B76" s="99">
        <v>2709</v>
      </c>
      <c r="C76" s="73">
        <f t="shared" si="18"/>
        <v>2064</v>
      </c>
      <c r="D76" s="43">
        <f>45+39</f>
        <v>84</v>
      </c>
      <c r="E76" s="43">
        <f>674+634</f>
        <v>1308</v>
      </c>
      <c r="F76" s="43">
        <f>894+963</f>
        <v>1857</v>
      </c>
      <c r="G76" s="43">
        <f>422+891</f>
        <v>1313</v>
      </c>
      <c r="H76" s="92">
        <f t="shared" si="19"/>
        <v>211</v>
      </c>
      <c r="I76" s="29"/>
      <c r="J76" s="43">
        <v>4773</v>
      </c>
      <c r="K76" s="25"/>
    </row>
    <row r="77" spans="1:11" x14ac:dyDescent="0.2">
      <c r="A77" s="67">
        <v>43465</v>
      </c>
      <c r="B77" s="99">
        <v>2706</v>
      </c>
      <c r="C77" s="73">
        <f t="shared" si="18"/>
        <v>2081</v>
      </c>
      <c r="D77" s="43">
        <f>52+44</f>
        <v>96</v>
      </c>
      <c r="E77" s="43">
        <f>686+647</f>
        <v>1333</v>
      </c>
      <c r="F77" s="43">
        <f>898+966</f>
        <v>1864</v>
      </c>
      <c r="G77" s="43">
        <f>418+882</f>
        <v>1300</v>
      </c>
      <c r="H77" s="92">
        <f t="shared" si="19"/>
        <v>194</v>
      </c>
      <c r="I77" s="29"/>
      <c r="J77" s="43">
        <v>4787</v>
      </c>
      <c r="K77" s="25"/>
    </row>
    <row r="78" spans="1:11" x14ac:dyDescent="0.2">
      <c r="A78" s="67">
        <v>43555</v>
      </c>
      <c r="B78" s="99">
        <v>2706</v>
      </c>
      <c r="C78" s="73">
        <f t="shared" ref="C78" si="20">J78-B78</f>
        <v>2104</v>
      </c>
      <c r="D78" s="43">
        <f>34+26</f>
        <v>60</v>
      </c>
      <c r="E78" s="43">
        <f>615+604</f>
        <v>1219</v>
      </c>
      <c r="F78" s="43">
        <f>989+996</f>
        <v>1985</v>
      </c>
      <c r="G78" s="43">
        <f>429+845</f>
        <v>1274</v>
      </c>
      <c r="H78" s="92">
        <f t="shared" ref="H78" si="21">J78-D78-E78-F78-G78</f>
        <v>272</v>
      </c>
      <c r="I78" s="29"/>
      <c r="J78" s="43">
        <v>4810</v>
      </c>
      <c r="K78" s="25"/>
    </row>
    <row r="79" spans="1:11" x14ac:dyDescent="0.2">
      <c r="A79" s="67">
        <v>43646</v>
      </c>
      <c r="B79" s="99">
        <v>2707</v>
      </c>
      <c r="C79" s="73">
        <f t="shared" ref="C79" si="22">J79-B79</f>
        <v>2115</v>
      </c>
      <c r="D79" s="43">
        <f>38+30</f>
        <v>68</v>
      </c>
      <c r="E79" s="43">
        <f>632+626</f>
        <v>1258</v>
      </c>
      <c r="F79" s="43">
        <f>984+996</f>
        <v>1980</v>
      </c>
      <c r="G79" s="43">
        <f>430+839</f>
        <v>1269</v>
      </c>
      <c r="H79" s="92">
        <f t="shared" ref="H79" si="23">J79-D79-E79-F79-G79</f>
        <v>247</v>
      </c>
      <c r="I79" s="29"/>
      <c r="J79" s="43">
        <v>4822</v>
      </c>
      <c r="K79" s="25"/>
    </row>
    <row r="80" spans="1:11" x14ac:dyDescent="0.2">
      <c r="A80" s="67">
        <v>43738</v>
      </c>
      <c r="B80" s="99">
        <v>2697</v>
      </c>
      <c r="C80" s="73">
        <f t="shared" ref="C80" si="24">J80-B80</f>
        <v>2141</v>
      </c>
      <c r="D80" s="43">
        <f>51+34</f>
        <v>85</v>
      </c>
      <c r="E80" s="43">
        <f>662+638</f>
        <v>1300</v>
      </c>
      <c r="F80" s="43">
        <f>975+997</f>
        <v>1972</v>
      </c>
      <c r="G80" s="43">
        <f>426+831</f>
        <v>1257</v>
      </c>
      <c r="H80" s="92">
        <f t="shared" ref="H80" si="25">J80-D80-E80-F80-G80</f>
        <v>224</v>
      </c>
      <c r="I80" s="29"/>
      <c r="J80" s="43">
        <v>4838</v>
      </c>
      <c r="K80" s="25"/>
    </row>
    <row r="81" spans="1:11" x14ac:dyDescent="0.2">
      <c r="A81" s="67">
        <v>43830</v>
      </c>
      <c r="B81" s="99">
        <v>2700</v>
      </c>
      <c r="C81" s="73">
        <f t="shared" ref="C81" si="26">J81-B81</f>
        <v>2158</v>
      </c>
      <c r="D81" s="43">
        <f>59+38</f>
        <v>97</v>
      </c>
      <c r="E81" s="43">
        <f>676+658</f>
        <v>1334</v>
      </c>
      <c r="F81" s="43">
        <f>975+995</f>
        <v>1970</v>
      </c>
      <c r="G81" s="43">
        <f>424+823</f>
        <v>1247</v>
      </c>
      <c r="H81" s="92">
        <f t="shared" ref="H81" si="27">J81-D81-E81-F81-G81</f>
        <v>210</v>
      </c>
      <c r="I81" s="29"/>
      <c r="J81" s="43">
        <v>4858</v>
      </c>
      <c r="K81" s="25"/>
    </row>
    <row r="82" spans="1:11" x14ac:dyDescent="0.2">
      <c r="A82" s="67">
        <v>43921</v>
      </c>
      <c r="B82" s="99">
        <v>2703</v>
      </c>
      <c r="C82" s="73">
        <f t="shared" ref="C82" si="28">J82-B82</f>
        <v>2204</v>
      </c>
      <c r="D82" s="43">
        <v>55</v>
      </c>
      <c r="E82" s="43">
        <v>1274</v>
      </c>
      <c r="F82" s="43">
        <v>2082</v>
      </c>
      <c r="G82" s="43">
        <v>1191</v>
      </c>
      <c r="H82" s="92">
        <f t="shared" ref="H82" si="29">J82-D82-E82-F82-G82</f>
        <v>305</v>
      </c>
      <c r="I82" s="29"/>
      <c r="J82" s="43">
        <v>4907</v>
      </c>
      <c r="K82" s="25"/>
    </row>
    <row r="83" spans="1:11" x14ac:dyDescent="0.2">
      <c r="A83" s="67">
        <v>44104</v>
      </c>
      <c r="B83" s="99">
        <v>2691</v>
      </c>
      <c r="C83" s="73">
        <f t="shared" ref="C83" si="30">J83-B83</f>
        <v>2245</v>
      </c>
      <c r="D83" s="43">
        <f>57+27</f>
        <v>84</v>
      </c>
      <c r="E83" s="43">
        <f>698+653</f>
        <v>1351</v>
      </c>
      <c r="F83" s="43">
        <f>1037+1032</f>
        <v>2069</v>
      </c>
      <c r="G83" s="43">
        <f>421+751</f>
        <v>1172</v>
      </c>
      <c r="H83" s="92">
        <f t="shared" ref="H83" si="31">J83-D83-E83-F83-G83</f>
        <v>260</v>
      </c>
      <c r="I83" s="29"/>
      <c r="J83" s="43">
        <v>4936</v>
      </c>
      <c r="K83" s="25"/>
    </row>
    <row r="84" spans="1:11" x14ac:dyDescent="0.2">
      <c r="A84" s="67">
        <v>44196</v>
      </c>
      <c r="B84" s="99">
        <v>2673</v>
      </c>
      <c r="C84" s="73">
        <f t="shared" ref="C84" si="32">J84-B84</f>
        <v>2257</v>
      </c>
      <c r="D84" s="43">
        <f>58+32</f>
        <v>90</v>
      </c>
      <c r="E84" s="43">
        <f>708+654</f>
        <v>1362</v>
      </c>
      <c r="F84" s="43">
        <f>1042+1029</f>
        <v>2071</v>
      </c>
      <c r="G84" s="43">
        <f>419+745</f>
        <v>1164</v>
      </c>
      <c r="H84" s="92">
        <f t="shared" ref="H84" si="33">J84-D84-E84-F84-G84</f>
        <v>243</v>
      </c>
      <c r="I84" s="29"/>
      <c r="J84" s="43">
        <v>4930</v>
      </c>
      <c r="K84" s="25"/>
    </row>
    <row r="85" spans="1:11" x14ac:dyDescent="0.2">
      <c r="A85" s="34" t="s">
        <v>38</v>
      </c>
    </row>
    <row r="86" spans="1:11" x14ac:dyDescent="0.2">
      <c r="B86" s="25"/>
      <c r="C86" s="56"/>
      <c r="H86" s="56"/>
    </row>
    <row r="87" spans="1:11" x14ac:dyDescent="0.2">
      <c r="B87" s="58"/>
      <c r="C87" s="56"/>
      <c r="H87" s="56"/>
    </row>
    <row r="88" spans="1:11" x14ac:dyDescent="0.2">
      <c r="B88" s="28"/>
      <c r="C88" s="38"/>
      <c r="H88" s="38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"/>
  <sheetViews>
    <sheetView zoomScale="95" zoomScaleNormal="95" workbookViewId="0">
      <selection activeCell="K10" sqref="K10"/>
    </sheetView>
  </sheetViews>
  <sheetFormatPr baseColWidth="10" defaultRowHeight="12.75" x14ac:dyDescent="0.2"/>
  <cols>
    <col min="1" max="1" width="23.85546875" customWidth="1"/>
    <col min="2" max="2" width="9.5703125" customWidth="1"/>
    <col min="3" max="3" width="9.28515625" customWidth="1"/>
    <col min="4" max="4" width="7.85546875" customWidth="1"/>
    <col min="5" max="5" width="9.5703125" customWidth="1"/>
    <col min="6" max="6" width="8.28515625" customWidth="1"/>
    <col min="7" max="7" width="8.140625" customWidth="1"/>
    <col min="8" max="8" width="7.28515625" customWidth="1"/>
    <col min="9" max="9" width="9.5703125" customWidth="1"/>
    <col min="10" max="11" width="9" customWidth="1"/>
    <col min="12" max="12" width="9.42578125" customWidth="1"/>
  </cols>
  <sheetData>
    <row r="1" spans="1:13" x14ac:dyDescent="0.2">
      <c r="A1" s="243" t="s">
        <v>377</v>
      </c>
      <c r="B1">
        <v>2017</v>
      </c>
      <c r="C1">
        <v>2018</v>
      </c>
      <c r="D1">
        <v>2018</v>
      </c>
      <c r="E1">
        <v>2018</v>
      </c>
      <c r="F1">
        <v>2018</v>
      </c>
      <c r="G1">
        <v>2019</v>
      </c>
      <c r="H1">
        <v>2019</v>
      </c>
      <c r="I1">
        <v>2019</v>
      </c>
      <c r="J1">
        <v>2019</v>
      </c>
      <c r="K1">
        <v>2020</v>
      </c>
      <c r="L1">
        <v>2020</v>
      </c>
      <c r="M1" s="145">
        <v>2020</v>
      </c>
    </row>
    <row r="2" spans="1:13" x14ac:dyDescent="0.2">
      <c r="B2" t="s">
        <v>345</v>
      </c>
      <c r="C2" t="s">
        <v>346</v>
      </c>
      <c r="D2" t="s">
        <v>347</v>
      </c>
      <c r="E2" t="s">
        <v>348</v>
      </c>
      <c r="F2" t="s">
        <v>345</v>
      </c>
      <c r="G2" t="s">
        <v>346</v>
      </c>
      <c r="H2" t="s">
        <v>347</v>
      </c>
      <c r="I2" t="s">
        <v>348</v>
      </c>
      <c r="J2" t="s">
        <v>345</v>
      </c>
      <c r="K2" t="s">
        <v>346</v>
      </c>
      <c r="L2" t="s">
        <v>348</v>
      </c>
      <c r="M2" s="237" t="s">
        <v>345</v>
      </c>
    </row>
    <row r="3" spans="1:13" ht="25.5" x14ac:dyDescent="0.2">
      <c r="A3" s="242" t="s">
        <v>349</v>
      </c>
      <c r="B3" s="225">
        <v>4760</v>
      </c>
      <c r="C3" s="225">
        <v>4780</v>
      </c>
      <c r="D3" s="225">
        <v>4780</v>
      </c>
      <c r="E3" s="225">
        <v>4808</v>
      </c>
      <c r="F3" s="225">
        <v>4815</v>
      </c>
      <c r="G3" s="225">
        <v>4833</v>
      </c>
      <c r="H3" s="225">
        <v>4847</v>
      </c>
      <c r="I3" s="225">
        <v>4866</v>
      </c>
      <c r="J3" s="225">
        <v>4884</v>
      </c>
      <c r="K3" s="225">
        <v>4931</v>
      </c>
      <c r="L3" s="225">
        <v>4961</v>
      </c>
      <c r="M3" s="238">
        <v>4959</v>
      </c>
    </row>
    <row r="4" spans="1:13" ht="38.25" x14ac:dyDescent="0.2">
      <c r="A4" s="242" t="s">
        <v>350</v>
      </c>
      <c r="B4" s="225">
        <v>551</v>
      </c>
      <c r="C4" s="225">
        <v>564</v>
      </c>
      <c r="D4" s="225">
        <v>570</v>
      </c>
      <c r="E4" s="225">
        <v>599</v>
      </c>
      <c r="F4" s="225">
        <v>611</v>
      </c>
      <c r="G4" s="225">
        <v>633</v>
      </c>
      <c r="H4" s="225">
        <v>642</v>
      </c>
      <c r="I4" s="225">
        <v>669</v>
      </c>
      <c r="J4" s="225">
        <v>683</v>
      </c>
      <c r="K4" s="225">
        <v>707</v>
      </c>
      <c r="L4" s="225">
        <v>732</v>
      </c>
      <c r="M4" s="238">
        <v>731</v>
      </c>
    </row>
    <row r="5" spans="1:13" ht="39" x14ac:dyDescent="0.25">
      <c r="A5" s="242" t="s">
        <v>351</v>
      </c>
      <c r="B5" s="226">
        <f>B4/B3</f>
        <v>0.11575630252100841</v>
      </c>
      <c r="C5" s="226">
        <f t="shared" ref="C5:M5" si="0">C4/C3</f>
        <v>0.11799163179916318</v>
      </c>
      <c r="D5" s="226">
        <f t="shared" si="0"/>
        <v>0.1192468619246862</v>
      </c>
      <c r="E5" s="226">
        <f t="shared" si="0"/>
        <v>0.12458402662229617</v>
      </c>
      <c r="F5" s="226">
        <f t="shared" si="0"/>
        <v>0.12689511941848391</v>
      </c>
      <c r="G5" s="226">
        <f t="shared" si="0"/>
        <v>0.13097454996896338</v>
      </c>
      <c r="H5" s="226">
        <f t="shared" si="0"/>
        <v>0.13245306375077368</v>
      </c>
      <c r="I5" s="226">
        <f t="shared" si="0"/>
        <v>0.13748458692971641</v>
      </c>
      <c r="J5" s="226">
        <f t="shared" si="0"/>
        <v>0.13984438984438985</v>
      </c>
      <c r="K5" s="226">
        <f t="shared" ref="K5" si="1">K4/K3</f>
        <v>0.14337862502534982</v>
      </c>
      <c r="L5" s="226">
        <f t="shared" si="0"/>
        <v>0.14755089699657328</v>
      </c>
      <c r="M5" s="239">
        <f t="shared" si="0"/>
        <v>0.14740875176446863</v>
      </c>
    </row>
    <row r="6" spans="1:13" ht="38.25" x14ac:dyDescent="0.2">
      <c r="A6" s="241" t="s">
        <v>352</v>
      </c>
      <c r="B6" s="225">
        <v>2910</v>
      </c>
      <c r="C6" s="225">
        <v>2914</v>
      </c>
      <c r="D6" s="225">
        <v>2933</v>
      </c>
      <c r="E6" s="225">
        <v>2930</v>
      </c>
      <c r="F6" s="225">
        <v>2950</v>
      </c>
      <c r="G6" s="225">
        <v>2971</v>
      </c>
      <c r="H6" s="225">
        <v>3000</v>
      </c>
      <c r="I6" s="225">
        <v>3010</v>
      </c>
      <c r="J6" s="225">
        <v>3049</v>
      </c>
      <c r="K6" s="225">
        <v>3067</v>
      </c>
      <c r="L6" s="225">
        <v>3093</v>
      </c>
      <c r="M6" s="238">
        <v>3127</v>
      </c>
    </row>
    <row r="7" spans="1:13" ht="39" x14ac:dyDescent="0.25">
      <c r="A7" s="241" t="s">
        <v>353</v>
      </c>
      <c r="B7" s="226">
        <f>B6/B3</f>
        <v>0.6113445378151261</v>
      </c>
      <c r="C7" s="226">
        <f t="shared" ref="C7:M7" si="2">C6/C3</f>
        <v>0.60962343096234306</v>
      </c>
      <c r="D7" s="226">
        <f t="shared" si="2"/>
        <v>0.61359832635983269</v>
      </c>
      <c r="E7" s="226">
        <f t="shared" si="2"/>
        <v>0.6094009983361065</v>
      </c>
      <c r="F7" s="226">
        <f t="shared" si="2"/>
        <v>0.612668743509865</v>
      </c>
      <c r="G7" s="226">
        <f t="shared" si="2"/>
        <v>0.61473205048624047</v>
      </c>
      <c r="H7" s="226">
        <f t="shared" si="2"/>
        <v>0.61893955023726011</v>
      </c>
      <c r="I7" s="226">
        <f t="shared" si="2"/>
        <v>0.61857788738183317</v>
      </c>
      <c r="J7" s="226">
        <f t="shared" si="2"/>
        <v>0.62428337428337433</v>
      </c>
      <c r="K7" s="226">
        <f t="shared" ref="K7" si="3">K6/K3</f>
        <v>0.6219833705130805</v>
      </c>
      <c r="L7" s="226">
        <f t="shared" si="2"/>
        <v>0.62346301148961902</v>
      </c>
      <c r="M7" s="239">
        <f t="shared" si="2"/>
        <v>0.63057067957249446</v>
      </c>
    </row>
    <row r="8" spans="1:13" x14ac:dyDescent="0.2">
      <c r="A8" s="240" t="s">
        <v>362</v>
      </c>
    </row>
  </sheetData>
  <phoneticPr fontId="16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03"/>
  <sheetViews>
    <sheetView workbookViewId="0">
      <pane ySplit="11" topLeftCell="A78" activePane="bottomLeft" state="frozen"/>
      <selection pane="bottomLeft" activeCell="A98" sqref="A98"/>
    </sheetView>
  </sheetViews>
  <sheetFormatPr baseColWidth="10" defaultRowHeight="12.75" x14ac:dyDescent="0.2"/>
  <cols>
    <col min="1" max="1" width="11" customWidth="1"/>
    <col min="2" max="2" width="9.28515625" customWidth="1"/>
    <col min="3" max="3" width="10.42578125" customWidth="1"/>
    <col min="4" max="4" width="10.85546875" customWidth="1"/>
    <col min="5" max="5" width="14.7109375" customWidth="1"/>
    <col min="6" max="6" width="14.85546875" customWidth="1"/>
    <col min="7" max="7" width="15" customWidth="1"/>
    <col min="8" max="8" width="12.7109375" style="53" customWidth="1"/>
    <col min="9" max="9" width="10" customWidth="1"/>
    <col min="10" max="11" width="10.85546875" customWidth="1"/>
    <col min="12" max="12" width="8.85546875" customWidth="1"/>
  </cols>
  <sheetData>
    <row r="1" spans="1:12" ht="20.25" x14ac:dyDescent="0.2">
      <c r="A1" s="26" t="s">
        <v>208</v>
      </c>
      <c r="I1" s="211"/>
      <c r="J1" s="211"/>
      <c r="K1" s="211"/>
      <c r="L1" s="211"/>
    </row>
    <row r="2" spans="1:12" x14ac:dyDescent="0.2">
      <c r="A2" s="52"/>
      <c r="B2" s="53"/>
      <c r="C2" s="53"/>
      <c r="E2" s="53"/>
      <c r="F2" s="53"/>
      <c r="G2" s="53"/>
      <c r="I2" s="212"/>
      <c r="J2" s="212"/>
      <c r="K2" s="212"/>
      <c r="L2" s="53"/>
    </row>
    <row r="3" spans="1:12" x14ac:dyDescent="0.2">
      <c r="A3" s="52"/>
      <c r="B3" s="54" t="s">
        <v>10</v>
      </c>
      <c r="C3" s="54" t="s">
        <v>10</v>
      </c>
      <c r="E3" s="54" t="s">
        <v>10</v>
      </c>
    </row>
    <row r="4" spans="1:12" x14ac:dyDescent="0.2">
      <c r="A4" s="52"/>
      <c r="B4" s="54" t="s">
        <v>31</v>
      </c>
      <c r="C4" s="54" t="s">
        <v>31</v>
      </c>
      <c r="D4" s="54" t="s">
        <v>10</v>
      </c>
      <c r="E4" s="54" t="s">
        <v>18</v>
      </c>
    </row>
    <row r="5" spans="1:12" x14ac:dyDescent="0.2">
      <c r="A5" s="52"/>
      <c r="B5" s="54" t="s">
        <v>89</v>
      </c>
      <c r="C5" s="54" t="s">
        <v>89</v>
      </c>
      <c r="D5" s="54" t="s">
        <v>31</v>
      </c>
      <c r="E5" s="54" t="s">
        <v>80</v>
      </c>
      <c r="F5" s="54" t="s">
        <v>10</v>
      </c>
    </row>
    <row r="6" spans="1:12" x14ac:dyDescent="0.2">
      <c r="A6" s="52"/>
      <c r="B6" s="54" t="s">
        <v>88</v>
      </c>
      <c r="C6" s="54" t="s">
        <v>88</v>
      </c>
      <c r="D6" s="54" t="s">
        <v>91</v>
      </c>
      <c r="E6" s="54" t="s">
        <v>86</v>
      </c>
      <c r="F6" s="54" t="s">
        <v>18</v>
      </c>
      <c r="G6" s="54" t="s">
        <v>10</v>
      </c>
      <c r="H6" s="54"/>
    </row>
    <row r="7" spans="1:12" x14ac:dyDescent="0.2">
      <c r="A7" s="52"/>
      <c r="B7" s="54" t="s">
        <v>83</v>
      </c>
      <c r="C7" s="54" t="s">
        <v>84</v>
      </c>
      <c r="D7" s="54" t="s">
        <v>90</v>
      </c>
      <c r="E7" s="54" t="s">
        <v>87</v>
      </c>
      <c r="F7" s="54" t="s">
        <v>121</v>
      </c>
      <c r="G7" s="54" t="s">
        <v>18</v>
      </c>
      <c r="H7" s="54"/>
    </row>
    <row r="8" spans="1:12" x14ac:dyDescent="0.2">
      <c r="A8" s="97"/>
      <c r="B8" s="76" t="s">
        <v>82</v>
      </c>
      <c r="C8" s="76" t="s">
        <v>82</v>
      </c>
      <c r="D8" s="98" t="s">
        <v>85</v>
      </c>
      <c r="E8" s="76" t="s">
        <v>163</v>
      </c>
      <c r="F8" s="76" t="s">
        <v>57</v>
      </c>
      <c r="G8" s="76" t="s">
        <v>81</v>
      </c>
      <c r="H8" s="111"/>
    </row>
    <row r="9" spans="1:12" x14ac:dyDescent="0.2">
      <c r="A9" s="197" t="s">
        <v>325</v>
      </c>
      <c r="B9" s="198"/>
      <c r="C9" s="198"/>
      <c r="D9" s="199"/>
      <c r="E9" s="198" t="s">
        <v>326</v>
      </c>
      <c r="F9" s="111"/>
      <c r="G9" s="111"/>
      <c r="H9" s="111"/>
      <c r="I9" s="197"/>
      <c r="J9" s="197" t="s">
        <v>328</v>
      </c>
      <c r="K9" s="196"/>
      <c r="L9" s="111"/>
    </row>
    <row r="10" spans="1:12" x14ac:dyDescent="0.2">
      <c r="A10" s="197"/>
      <c r="B10" s="198"/>
      <c r="C10" s="198"/>
      <c r="D10" s="199"/>
      <c r="E10" s="198" t="s">
        <v>323</v>
      </c>
      <c r="F10" s="111"/>
      <c r="G10" s="111"/>
      <c r="H10" s="111"/>
      <c r="I10" s="111"/>
      <c r="J10" s="111"/>
      <c r="K10" s="196"/>
      <c r="L10" s="111"/>
    </row>
    <row r="11" spans="1:12" x14ac:dyDescent="0.2">
      <c r="A11" s="197" t="s">
        <v>324</v>
      </c>
      <c r="B11" s="198"/>
      <c r="C11" s="198"/>
      <c r="D11" s="199"/>
      <c r="E11" s="198" t="s">
        <v>322</v>
      </c>
      <c r="F11" s="111"/>
      <c r="G11" s="111"/>
      <c r="H11" s="111"/>
      <c r="I11" s="111"/>
      <c r="J11" s="111"/>
      <c r="K11" s="196"/>
      <c r="L11" s="111"/>
    </row>
    <row r="12" spans="1:12" x14ac:dyDescent="0.2">
      <c r="A12" s="90"/>
      <c r="B12" s="111"/>
      <c r="C12" s="111"/>
      <c r="D12" s="196"/>
      <c r="E12" s="111" t="s">
        <v>323</v>
      </c>
      <c r="F12" s="111"/>
      <c r="G12" s="111"/>
      <c r="H12" s="111"/>
      <c r="I12" s="111"/>
      <c r="J12" s="111"/>
      <c r="K12" s="196"/>
      <c r="L12" s="111"/>
    </row>
    <row r="13" spans="1:12" ht="14.25" x14ac:dyDescent="0.2">
      <c r="A13" s="37" t="s">
        <v>36</v>
      </c>
      <c r="B13" s="112" t="s">
        <v>101</v>
      </c>
      <c r="C13" s="112" t="s">
        <v>101</v>
      </c>
      <c r="D13" s="112" t="s">
        <v>101</v>
      </c>
      <c r="E13" s="112" t="s">
        <v>107</v>
      </c>
      <c r="F13" s="102">
        <v>343</v>
      </c>
      <c r="G13" s="102">
        <v>350</v>
      </c>
      <c r="H13" s="104"/>
      <c r="I13" s="213"/>
      <c r="J13" s="213"/>
      <c r="K13" s="213"/>
      <c r="L13" s="56"/>
    </row>
    <row r="14" spans="1:12" x14ac:dyDescent="0.2">
      <c r="A14" s="55">
        <v>37072</v>
      </c>
      <c r="B14" s="100">
        <v>2015</v>
      </c>
      <c r="C14" s="100">
        <v>301</v>
      </c>
      <c r="D14" s="100">
        <v>260</v>
      </c>
      <c r="E14" s="39">
        <v>22</v>
      </c>
      <c r="F14" s="39">
        <v>354</v>
      </c>
      <c r="G14" s="77">
        <v>370</v>
      </c>
      <c r="H14" s="57"/>
      <c r="I14" s="214"/>
      <c r="J14" s="214"/>
      <c r="K14" s="214"/>
      <c r="L14" s="56"/>
    </row>
    <row r="15" spans="1:12" ht="14.25" x14ac:dyDescent="0.2">
      <c r="A15" s="55">
        <v>37164</v>
      </c>
      <c r="B15" s="112" t="s">
        <v>101</v>
      </c>
      <c r="C15" s="112" t="s">
        <v>101</v>
      </c>
      <c r="D15" s="112" t="s">
        <v>101</v>
      </c>
      <c r="E15" s="39">
        <v>140</v>
      </c>
      <c r="F15" s="39">
        <v>359</v>
      </c>
      <c r="G15" s="39">
        <v>389</v>
      </c>
      <c r="H15" s="56"/>
      <c r="I15" s="214"/>
      <c r="J15" s="214"/>
      <c r="K15" s="214"/>
      <c r="L15" s="56"/>
    </row>
    <row r="16" spans="1:12" ht="14.25" x14ac:dyDescent="0.2">
      <c r="A16" s="55">
        <v>37256</v>
      </c>
      <c r="B16" s="112" t="s">
        <v>101</v>
      </c>
      <c r="C16" s="112" t="s">
        <v>101</v>
      </c>
      <c r="D16" s="112" t="s">
        <v>101</v>
      </c>
      <c r="E16" s="39">
        <v>36</v>
      </c>
      <c r="F16" s="39">
        <v>377</v>
      </c>
      <c r="G16" s="39">
        <v>386</v>
      </c>
      <c r="H16" s="56"/>
      <c r="I16" s="214"/>
      <c r="J16" s="214"/>
      <c r="K16" s="214"/>
      <c r="L16" s="56"/>
    </row>
    <row r="17" spans="1:12" ht="14.25" x14ac:dyDescent="0.2">
      <c r="A17" s="55">
        <v>37346</v>
      </c>
      <c r="B17" s="112" t="s">
        <v>101</v>
      </c>
      <c r="C17" s="112" t="s">
        <v>101</v>
      </c>
      <c r="D17" s="112" t="s">
        <v>101</v>
      </c>
      <c r="E17" s="39">
        <v>196</v>
      </c>
      <c r="F17" s="39">
        <v>381</v>
      </c>
      <c r="G17" s="39">
        <v>400</v>
      </c>
      <c r="H17" s="56"/>
      <c r="I17" s="214"/>
      <c r="J17" s="214"/>
      <c r="K17" s="214"/>
      <c r="L17" s="56"/>
    </row>
    <row r="18" spans="1:12" x14ac:dyDescent="0.2">
      <c r="A18" s="68">
        <v>37437</v>
      </c>
      <c r="B18" s="100">
        <v>2079</v>
      </c>
      <c r="C18" s="100">
        <v>301</v>
      </c>
      <c r="D18" s="100">
        <v>261</v>
      </c>
      <c r="E18" s="66">
        <v>209</v>
      </c>
      <c r="F18" s="66">
        <v>388</v>
      </c>
      <c r="G18" s="66">
        <v>394</v>
      </c>
      <c r="H18" s="38"/>
      <c r="I18" s="214"/>
      <c r="J18" s="214"/>
      <c r="K18" s="214"/>
      <c r="L18" s="56"/>
    </row>
    <row r="19" spans="1:12" ht="14.25" x14ac:dyDescent="0.2">
      <c r="A19" s="91">
        <v>37529</v>
      </c>
      <c r="B19" s="112" t="s">
        <v>101</v>
      </c>
      <c r="C19" s="112" t="s">
        <v>101</v>
      </c>
      <c r="D19" s="112" t="s">
        <v>101</v>
      </c>
      <c r="E19" s="43">
        <v>231</v>
      </c>
      <c r="F19" s="43">
        <v>389</v>
      </c>
      <c r="G19" s="43">
        <v>390</v>
      </c>
      <c r="H19" s="73"/>
      <c r="I19" s="214"/>
      <c r="J19" s="214"/>
      <c r="K19" s="214"/>
      <c r="L19" s="56"/>
    </row>
    <row r="20" spans="1:12" ht="14.25" x14ac:dyDescent="0.2">
      <c r="A20" s="67">
        <v>37621</v>
      </c>
      <c r="B20" s="112" t="s">
        <v>101</v>
      </c>
      <c r="C20" s="112" t="s">
        <v>101</v>
      </c>
      <c r="D20" s="112" t="s">
        <v>101</v>
      </c>
      <c r="E20" s="43">
        <v>243</v>
      </c>
      <c r="F20" s="43">
        <v>391</v>
      </c>
      <c r="G20" s="43">
        <v>379</v>
      </c>
      <c r="H20" s="73"/>
      <c r="I20" s="214"/>
      <c r="J20" s="214"/>
      <c r="K20" s="214"/>
      <c r="L20" s="56"/>
    </row>
    <row r="21" spans="1:12" ht="14.25" x14ac:dyDescent="0.2">
      <c r="A21" s="67">
        <v>37711</v>
      </c>
      <c r="B21" s="112" t="s">
        <v>101</v>
      </c>
      <c r="C21" s="112" t="s">
        <v>101</v>
      </c>
      <c r="D21" s="112" t="s">
        <v>101</v>
      </c>
      <c r="E21" s="43">
        <v>267</v>
      </c>
      <c r="F21" s="43">
        <v>390</v>
      </c>
      <c r="G21" s="43">
        <v>374</v>
      </c>
      <c r="H21" s="73"/>
      <c r="I21" s="214"/>
      <c r="J21" s="214"/>
      <c r="K21" s="214"/>
      <c r="L21" s="56"/>
    </row>
    <row r="22" spans="1:12" x14ac:dyDescent="0.2">
      <c r="A22" s="67">
        <v>37802</v>
      </c>
      <c r="B22" s="43">
        <v>2132</v>
      </c>
      <c r="C22" s="43">
        <v>300</v>
      </c>
      <c r="D22" s="43">
        <v>261</v>
      </c>
      <c r="E22" s="43">
        <v>242</v>
      </c>
      <c r="F22" s="43">
        <v>393</v>
      </c>
      <c r="G22" s="43">
        <v>377</v>
      </c>
      <c r="H22" s="73"/>
      <c r="I22" s="214"/>
      <c r="J22" s="214"/>
      <c r="K22" s="214"/>
      <c r="L22" s="56"/>
    </row>
    <row r="23" spans="1:12" ht="14.25" x14ac:dyDescent="0.2">
      <c r="A23" s="67">
        <v>37894</v>
      </c>
      <c r="B23" s="112" t="s">
        <v>101</v>
      </c>
      <c r="C23" s="112" t="s">
        <v>101</v>
      </c>
      <c r="D23" s="112" t="s">
        <v>101</v>
      </c>
      <c r="E23" s="43">
        <v>202</v>
      </c>
      <c r="F23" s="43">
        <v>386</v>
      </c>
      <c r="G23" s="43">
        <v>373</v>
      </c>
      <c r="H23" s="73"/>
      <c r="I23" s="214"/>
      <c r="J23" s="214"/>
      <c r="K23" s="214"/>
      <c r="L23" s="56"/>
    </row>
    <row r="24" spans="1:12" ht="14.25" x14ac:dyDescent="0.2">
      <c r="A24" s="67">
        <v>37986</v>
      </c>
      <c r="B24" s="112" t="s">
        <v>101</v>
      </c>
      <c r="C24" s="112" t="s">
        <v>101</v>
      </c>
      <c r="D24" s="112" t="s">
        <v>101</v>
      </c>
      <c r="E24" s="43">
        <v>227</v>
      </c>
      <c r="F24" s="43">
        <v>376</v>
      </c>
      <c r="G24" s="43">
        <v>371</v>
      </c>
      <c r="H24" s="73"/>
      <c r="I24" s="214"/>
      <c r="J24" s="214"/>
      <c r="K24" s="214"/>
      <c r="L24" s="56"/>
    </row>
    <row r="25" spans="1:12" ht="14.25" x14ac:dyDescent="0.2">
      <c r="A25" s="67">
        <v>38077</v>
      </c>
      <c r="B25" s="112" t="s">
        <v>101</v>
      </c>
      <c r="C25" s="112" t="s">
        <v>101</v>
      </c>
      <c r="D25" s="112" t="s">
        <v>101</v>
      </c>
      <c r="E25" s="43">
        <v>199</v>
      </c>
      <c r="F25" s="43">
        <v>364</v>
      </c>
      <c r="G25" s="43">
        <v>367</v>
      </c>
      <c r="H25" s="73"/>
      <c r="I25" s="214"/>
      <c r="J25" s="214"/>
      <c r="K25" s="214"/>
      <c r="L25" s="56"/>
    </row>
    <row r="26" spans="1:12" x14ac:dyDescent="0.2">
      <c r="A26" s="67">
        <v>38168</v>
      </c>
      <c r="B26" s="100">
        <v>2210</v>
      </c>
      <c r="C26" s="100">
        <v>295</v>
      </c>
      <c r="D26" s="100">
        <v>256</v>
      </c>
      <c r="E26" s="43">
        <v>190</v>
      </c>
      <c r="F26" s="43">
        <v>370</v>
      </c>
      <c r="G26" s="43">
        <v>353</v>
      </c>
      <c r="H26" s="73"/>
      <c r="I26" s="214"/>
      <c r="J26" s="214"/>
      <c r="K26" s="214"/>
      <c r="L26" s="56"/>
    </row>
    <row r="27" spans="1:12" ht="14.25" x14ac:dyDescent="0.2">
      <c r="A27" s="67">
        <v>38260</v>
      </c>
      <c r="B27" s="112" t="s">
        <v>101</v>
      </c>
      <c r="C27" s="112" t="s">
        <v>101</v>
      </c>
      <c r="D27" s="112" t="s">
        <v>101</v>
      </c>
      <c r="E27" s="43">
        <v>191</v>
      </c>
      <c r="F27" s="43">
        <v>369</v>
      </c>
      <c r="G27" s="43">
        <v>349</v>
      </c>
      <c r="H27" s="73"/>
      <c r="I27" s="214"/>
      <c r="J27" s="214"/>
      <c r="K27" s="214"/>
      <c r="L27" s="56"/>
    </row>
    <row r="28" spans="1:12" x14ac:dyDescent="0.2">
      <c r="A28" s="67">
        <v>38352</v>
      </c>
      <c r="B28" s="100">
        <v>2214</v>
      </c>
      <c r="C28" s="100">
        <v>291</v>
      </c>
      <c r="D28" s="100">
        <v>252</v>
      </c>
      <c r="E28" s="43">
        <v>181</v>
      </c>
      <c r="F28" s="43">
        <v>366</v>
      </c>
      <c r="G28" s="43">
        <v>342</v>
      </c>
      <c r="H28" s="73"/>
      <c r="I28" s="214"/>
      <c r="J28" s="214"/>
      <c r="K28" s="214"/>
      <c r="L28" s="56"/>
    </row>
    <row r="29" spans="1:12" ht="14.25" x14ac:dyDescent="0.2">
      <c r="A29" s="67">
        <v>38442</v>
      </c>
      <c r="B29" s="112" t="s">
        <v>101</v>
      </c>
      <c r="C29" s="112" t="s">
        <v>101</v>
      </c>
      <c r="D29" s="112" t="s">
        <v>101</v>
      </c>
      <c r="E29" s="43">
        <v>203</v>
      </c>
      <c r="F29" s="43">
        <v>361</v>
      </c>
      <c r="G29" s="43">
        <v>332</v>
      </c>
      <c r="H29" s="73"/>
      <c r="I29" s="214"/>
      <c r="J29" s="214"/>
      <c r="K29" s="214"/>
      <c r="L29" s="56"/>
    </row>
    <row r="30" spans="1:12" ht="14.25" x14ac:dyDescent="0.2">
      <c r="A30" s="67">
        <v>38533</v>
      </c>
      <c r="B30" s="112" t="s">
        <v>101</v>
      </c>
      <c r="C30" s="112" t="s">
        <v>101</v>
      </c>
      <c r="D30" s="112" t="s">
        <v>101</v>
      </c>
      <c r="E30" s="43">
        <v>218</v>
      </c>
      <c r="F30" s="43">
        <v>365</v>
      </c>
      <c r="G30" s="43">
        <v>330</v>
      </c>
      <c r="H30" s="73"/>
      <c r="I30" s="214"/>
      <c r="J30" s="214"/>
      <c r="K30" s="214"/>
      <c r="L30" s="56"/>
    </row>
    <row r="31" spans="1:12" ht="14.25" x14ac:dyDescent="0.2">
      <c r="A31" s="67">
        <v>38625</v>
      </c>
      <c r="B31" s="112" t="s">
        <v>101</v>
      </c>
      <c r="C31" s="112" t="s">
        <v>101</v>
      </c>
      <c r="D31" s="112" t="s">
        <v>101</v>
      </c>
      <c r="E31" s="43">
        <v>201</v>
      </c>
      <c r="F31" s="43">
        <v>357</v>
      </c>
      <c r="G31" s="43">
        <v>328</v>
      </c>
      <c r="H31" s="73"/>
      <c r="I31" s="214"/>
      <c r="J31" s="214"/>
      <c r="K31" s="214"/>
      <c r="L31" s="56"/>
    </row>
    <row r="32" spans="1:12" ht="14.25" x14ac:dyDescent="0.2">
      <c r="A32" s="67">
        <v>38717</v>
      </c>
      <c r="B32" s="112" t="s">
        <v>101</v>
      </c>
      <c r="C32" s="112" t="s">
        <v>101</v>
      </c>
      <c r="D32" s="112" t="s">
        <v>101</v>
      </c>
      <c r="E32" s="43">
        <v>175</v>
      </c>
      <c r="F32" s="43">
        <v>346</v>
      </c>
      <c r="G32" s="43">
        <v>316</v>
      </c>
      <c r="H32" s="73"/>
      <c r="I32" s="214"/>
      <c r="J32" s="214"/>
      <c r="K32" s="214"/>
      <c r="L32" s="56"/>
    </row>
    <row r="33" spans="1:12" ht="14.25" x14ac:dyDescent="0.2">
      <c r="A33" s="67">
        <v>38807</v>
      </c>
      <c r="B33" s="112" t="s">
        <v>101</v>
      </c>
      <c r="C33" s="112" t="s">
        <v>101</v>
      </c>
      <c r="D33" s="112" t="s">
        <v>101</v>
      </c>
      <c r="E33" s="43">
        <v>218</v>
      </c>
      <c r="F33" s="43">
        <v>343</v>
      </c>
      <c r="G33" s="43">
        <v>316</v>
      </c>
      <c r="H33" s="73"/>
      <c r="I33" s="214"/>
      <c r="J33" s="214"/>
      <c r="K33" s="214"/>
      <c r="L33" s="56"/>
    </row>
    <row r="34" spans="1:12" ht="14.25" x14ac:dyDescent="0.2">
      <c r="A34" s="67">
        <v>38898</v>
      </c>
      <c r="B34" s="112" t="s">
        <v>101</v>
      </c>
      <c r="C34" s="112" t="s">
        <v>101</v>
      </c>
      <c r="D34" s="112" t="s">
        <v>101</v>
      </c>
      <c r="E34" s="43">
        <v>231</v>
      </c>
      <c r="F34" s="43">
        <v>343</v>
      </c>
      <c r="G34" s="43">
        <v>316</v>
      </c>
      <c r="H34" s="73"/>
      <c r="I34" s="214"/>
      <c r="J34" s="214"/>
      <c r="K34" s="214"/>
      <c r="L34" s="56"/>
    </row>
    <row r="35" spans="1:12" ht="14.25" x14ac:dyDescent="0.2">
      <c r="A35" s="67">
        <v>38990</v>
      </c>
      <c r="B35" s="112" t="s">
        <v>101</v>
      </c>
      <c r="C35" s="112" t="s">
        <v>101</v>
      </c>
      <c r="D35" s="112" t="s">
        <v>101</v>
      </c>
      <c r="E35" s="43">
        <v>188</v>
      </c>
      <c r="F35" s="43">
        <v>340</v>
      </c>
      <c r="G35" s="43">
        <v>310</v>
      </c>
      <c r="H35" s="73"/>
      <c r="I35" s="214"/>
      <c r="J35" s="214"/>
      <c r="K35" s="214"/>
      <c r="L35" s="56"/>
    </row>
    <row r="36" spans="1:12" ht="14.25" x14ac:dyDescent="0.2">
      <c r="A36" s="67">
        <v>39082</v>
      </c>
      <c r="B36" s="112" t="s">
        <v>101</v>
      </c>
      <c r="C36" s="112" t="s">
        <v>101</v>
      </c>
      <c r="D36" s="112" t="s">
        <v>101</v>
      </c>
      <c r="E36" s="43">
        <v>182</v>
      </c>
      <c r="F36" s="43">
        <v>340</v>
      </c>
      <c r="G36" s="43">
        <v>304</v>
      </c>
      <c r="H36" s="73"/>
      <c r="I36" s="214"/>
      <c r="J36" s="214"/>
      <c r="K36" s="214"/>
      <c r="L36" s="56"/>
    </row>
    <row r="37" spans="1:12" ht="14.25" x14ac:dyDescent="0.2">
      <c r="A37" s="67">
        <v>39172</v>
      </c>
      <c r="B37" s="112" t="s">
        <v>101</v>
      </c>
      <c r="C37" s="112" t="s">
        <v>101</v>
      </c>
      <c r="D37" s="112" t="s">
        <v>101</v>
      </c>
      <c r="E37" s="43">
        <v>200</v>
      </c>
      <c r="F37" s="43">
        <v>337</v>
      </c>
      <c r="G37" s="43">
        <v>298</v>
      </c>
      <c r="H37" s="73"/>
      <c r="I37" s="214"/>
      <c r="J37" s="214"/>
      <c r="K37" s="214"/>
      <c r="L37" s="56"/>
    </row>
    <row r="38" spans="1:12" ht="14.25" x14ac:dyDescent="0.2">
      <c r="A38" s="67">
        <v>39263</v>
      </c>
      <c r="B38" s="112" t="s">
        <v>101</v>
      </c>
      <c r="C38" s="112" t="s">
        <v>101</v>
      </c>
      <c r="D38" s="112" t="s">
        <v>101</v>
      </c>
      <c r="E38" s="43">
        <v>230</v>
      </c>
      <c r="F38" s="43">
        <v>335</v>
      </c>
      <c r="G38" s="43">
        <v>296</v>
      </c>
      <c r="H38" s="73"/>
      <c r="I38" s="214"/>
      <c r="J38" s="214"/>
      <c r="K38" s="214"/>
      <c r="L38" s="56"/>
    </row>
    <row r="39" spans="1:12" ht="14.25" x14ac:dyDescent="0.2">
      <c r="A39" s="67">
        <v>39355</v>
      </c>
      <c r="B39" s="112" t="s">
        <v>101</v>
      </c>
      <c r="C39" s="112" t="s">
        <v>101</v>
      </c>
      <c r="D39" s="112" t="s">
        <v>101</v>
      </c>
      <c r="E39" s="43">
        <v>212</v>
      </c>
      <c r="F39" s="43">
        <v>331</v>
      </c>
      <c r="G39" s="43">
        <v>290</v>
      </c>
      <c r="H39" s="73"/>
      <c r="I39" s="214"/>
      <c r="J39" s="214"/>
      <c r="K39" s="214"/>
      <c r="L39" s="56"/>
    </row>
    <row r="40" spans="1:12" ht="14.25" x14ac:dyDescent="0.2">
      <c r="A40" s="67">
        <v>39447</v>
      </c>
      <c r="B40" s="112" t="s">
        <v>101</v>
      </c>
      <c r="C40" s="112" t="s">
        <v>101</v>
      </c>
      <c r="D40" s="112" t="s">
        <v>101</v>
      </c>
      <c r="E40" s="43">
        <v>189</v>
      </c>
      <c r="F40" s="43">
        <v>338</v>
      </c>
      <c r="G40" s="43">
        <v>286</v>
      </c>
      <c r="H40" s="73"/>
      <c r="I40" s="214"/>
      <c r="J40" s="214"/>
      <c r="K40" s="214"/>
      <c r="L40" s="56"/>
    </row>
    <row r="41" spans="1:12" ht="14.25" x14ac:dyDescent="0.2">
      <c r="A41" s="67">
        <v>39538</v>
      </c>
      <c r="B41" s="112" t="s">
        <v>101</v>
      </c>
      <c r="C41" s="112" t="s">
        <v>101</v>
      </c>
      <c r="D41" s="112" t="s">
        <v>101</v>
      </c>
      <c r="E41" s="43">
        <v>220</v>
      </c>
      <c r="F41" s="43">
        <v>350</v>
      </c>
      <c r="G41" s="43">
        <v>283</v>
      </c>
      <c r="H41" s="73"/>
      <c r="I41" s="214"/>
      <c r="J41" s="214"/>
      <c r="K41" s="214"/>
      <c r="L41" s="56"/>
    </row>
    <row r="42" spans="1:12" ht="14.25" x14ac:dyDescent="0.2">
      <c r="A42" s="67">
        <v>39629</v>
      </c>
      <c r="B42" s="112" t="s">
        <v>101</v>
      </c>
      <c r="C42" s="112" t="s">
        <v>101</v>
      </c>
      <c r="D42" s="112" t="s">
        <v>101</v>
      </c>
      <c r="E42" s="43">
        <v>222</v>
      </c>
      <c r="F42" s="43">
        <v>351</v>
      </c>
      <c r="G42" s="43">
        <v>280</v>
      </c>
      <c r="H42" s="73"/>
      <c r="I42" s="214"/>
      <c r="J42" s="214"/>
      <c r="K42" s="214"/>
      <c r="L42" s="56"/>
    </row>
    <row r="43" spans="1:12" ht="14.25" x14ac:dyDescent="0.2">
      <c r="A43" s="67">
        <v>39721</v>
      </c>
      <c r="B43" s="112" t="s">
        <v>101</v>
      </c>
      <c r="C43" s="112" t="s">
        <v>101</v>
      </c>
      <c r="D43" s="112" t="s">
        <v>101</v>
      </c>
      <c r="E43" s="43">
        <v>224</v>
      </c>
      <c r="F43" s="43">
        <v>354</v>
      </c>
      <c r="G43" s="43">
        <v>270</v>
      </c>
      <c r="H43" s="73"/>
      <c r="I43" s="214"/>
      <c r="J43" s="214"/>
      <c r="K43" s="214"/>
      <c r="L43" s="56"/>
    </row>
    <row r="44" spans="1:12" ht="14.25" x14ac:dyDescent="0.2">
      <c r="A44" s="67">
        <v>39813</v>
      </c>
      <c r="B44" s="112" t="s">
        <v>101</v>
      </c>
      <c r="C44" s="112" t="s">
        <v>101</v>
      </c>
      <c r="D44" s="112" t="s">
        <v>101</v>
      </c>
      <c r="E44" s="43">
        <v>230</v>
      </c>
      <c r="F44" s="43">
        <v>357</v>
      </c>
      <c r="G44" s="43">
        <v>265</v>
      </c>
      <c r="H44" s="73"/>
      <c r="I44" s="214"/>
      <c r="J44" s="214"/>
      <c r="K44" s="214"/>
      <c r="L44" s="56"/>
    </row>
    <row r="45" spans="1:12" ht="14.25" x14ac:dyDescent="0.2">
      <c r="A45" s="67">
        <v>39903</v>
      </c>
      <c r="B45" s="112" t="s">
        <v>101</v>
      </c>
      <c r="C45" s="112" t="s">
        <v>101</v>
      </c>
      <c r="D45" s="112" t="s">
        <v>101</v>
      </c>
      <c r="E45" s="43">
        <v>227</v>
      </c>
      <c r="F45" s="43">
        <v>355</v>
      </c>
      <c r="G45" s="43">
        <v>258</v>
      </c>
      <c r="H45" s="73"/>
      <c r="I45" s="214"/>
      <c r="J45" s="214"/>
      <c r="K45" s="214"/>
      <c r="L45" s="56"/>
    </row>
    <row r="46" spans="1:12" ht="14.25" x14ac:dyDescent="0.2">
      <c r="A46" s="67">
        <v>39994</v>
      </c>
      <c r="B46" s="112" t="s">
        <v>101</v>
      </c>
      <c r="C46" s="112" t="s">
        <v>101</v>
      </c>
      <c r="D46" s="112" t="s">
        <v>101</v>
      </c>
      <c r="E46" s="43">
        <v>231</v>
      </c>
      <c r="F46" s="43">
        <v>356</v>
      </c>
      <c r="G46" s="43">
        <v>253</v>
      </c>
      <c r="H46" s="73"/>
      <c r="I46" s="214"/>
      <c r="J46" s="214"/>
      <c r="K46" s="214"/>
      <c r="L46" s="56"/>
    </row>
    <row r="47" spans="1:12" ht="14.25" x14ac:dyDescent="0.2">
      <c r="A47" s="67">
        <v>40086</v>
      </c>
      <c r="B47" s="112" t="s">
        <v>101</v>
      </c>
      <c r="C47" s="112" t="s">
        <v>101</v>
      </c>
      <c r="D47" s="112" t="s">
        <v>101</v>
      </c>
      <c r="E47" s="43">
        <v>201</v>
      </c>
      <c r="F47" s="43">
        <v>361</v>
      </c>
      <c r="G47" s="43">
        <v>251</v>
      </c>
      <c r="H47" s="73"/>
      <c r="I47" s="214"/>
      <c r="J47" s="214"/>
      <c r="K47" s="214"/>
      <c r="L47" s="56"/>
    </row>
    <row r="48" spans="1:12" ht="14.25" x14ac:dyDescent="0.2">
      <c r="A48" s="67">
        <v>40178</v>
      </c>
      <c r="B48" s="112" t="s">
        <v>101</v>
      </c>
      <c r="C48" s="112" t="s">
        <v>101</v>
      </c>
      <c r="D48" s="112" t="s">
        <v>101</v>
      </c>
      <c r="E48" s="43">
        <v>151</v>
      </c>
      <c r="F48" s="43">
        <v>359</v>
      </c>
      <c r="G48" s="43">
        <v>248</v>
      </c>
      <c r="H48" s="73"/>
      <c r="I48" s="214"/>
      <c r="J48" s="214"/>
      <c r="K48" s="214"/>
      <c r="L48" s="56"/>
    </row>
    <row r="49" spans="1:12" ht="14.25" x14ac:dyDescent="0.2">
      <c r="A49" s="67">
        <v>40268</v>
      </c>
      <c r="B49" s="112" t="s">
        <v>101</v>
      </c>
      <c r="C49" s="112" t="s">
        <v>101</v>
      </c>
      <c r="D49" s="112" t="s">
        <v>101</v>
      </c>
      <c r="E49" s="43">
        <v>182</v>
      </c>
      <c r="F49" s="43">
        <v>358</v>
      </c>
      <c r="G49" s="43">
        <v>248</v>
      </c>
      <c r="H49" s="73"/>
      <c r="I49" s="214"/>
      <c r="J49" s="214"/>
      <c r="K49" s="214"/>
      <c r="L49" s="56"/>
    </row>
    <row r="50" spans="1:12" ht="14.25" x14ac:dyDescent="0.2">
      <c r="A50" s="67">
        <v>40359</v>
      </c>
      <c r="B50" s="112" t="s">
        <v>101</v>
      </c>
      <c r="C50" s="112" t="s">
        <v>101</v>
      </c>
      <c r="D50" s="112" t="s">
        <v>101</v>
      </c>
      <c r="E50" s="43">
        <v>192</v>
      </c>
      <c r="F50" s="43">
        <v>355</v>
      </c>
      <c r="G50" s="43">
        <v>246</v>
      </c>
      <c r="H50" s="73"/>
      <c r="I50" s="214"/>
      <c r="J50" s="214"/>
      <c r="K50" s="214"/>
      <c r="L50" s="56"/>
    </row>
    <row r="51" spans="1:12" ht="14.25" x14ac:dyDescent="0.2">
      <c r="A51" s="67">
        <v>40451</v>
      </c>
      <c r="B51" s="112" t="s">
        <v>101</v>
      </c>
      <c r="C51" s="112" t="s">
        <v>101</v>
      </c>
      <c r="D51" s="112" t="s">
        <v>101</v>
      </c>
      <c r="E51" s="43">
        <v>216</v>
      </c>
      <c r="F51" s="43">
        <v>358</v>
      </c>
      <c r="G51" s="43">
        <v>243</v>
      </c>
      <c r="H51" s="73"/>
      <c r="I51" s="214"/>
      <c r="J51" s="214"/>
      <c r="K51" s="214"/>
      <c r="L51" s="56"/>
    </row>
    <row r="52" spans="1:12" ht="14.25" x14ac:dyDescent="0.2">
      <c r="A52" s="67">
        <v>40543</v>
      </c>
      <c r="B52" s="112" t="s">
        <v>101</v>
      </c>
      <c r="C52" s="112" t="s">
        <v>101</v>
      </c>
      <c r="D52" s="112" t="s">
        <v>101</v>
      </c>
      <c r="E52" s="43">
        <v>188</v>
      </c>
      <c r="F52" s="43">
        <v>353</v>
      </c>
      <c r="G52" s="43">
        <v>237</v>
      </c>
      <c r="H52" s="73"/>
      <c r="I52" s="214"/>
      <c r="J52" s="214"/>
      <c r="K52" s="214"/>
      <c r="L52" s="56"/>
    </row>
    <row r="53" spans="1:12" ht="14.25" x14ac:dyDescent="0.2">
      <c r="A53" s="67">
        <v>40633</v>
      </c>
      <c r="B53" s="112" t="s">
        <v>101</v>
      </c>
      <c r="C53" s="112" t="s">
        <v>101</v>
      </c>
      <c r="D53" s="112" t="s">
        <v>101</v>
      </c>
      <c r="E53" s="43">
        <v>195</v>
      </c>
      <c r="F53" s="43">
        <v>354</v>
      </c>
      <c r="G53" s="43">
        <v>237</v>
      </c>
      <c r="H53" s="73"/>
      <c r="I53" s="214"/>
      <c r="J53" s="214"/>
      <c r="K53" s="214"/>
      <c r="L53" s="56"/>
    </row>
    <row r="54" spans="1:12" ht="14.25" x14ac:dyDescent="0.2">
      <c r="A54" s="67">
        <v>40724</v>
      </c>
      <c r="B54" s="112" t="s">
        <v>101</v>
      </c>
      <c r="C54" s="112" t="s">
        <v>101</v>
      </c>
      <c r="D54" s="112" t="s">
        <v>101</v>
      </c>
      <c r="E54" s="43">
        <v>209</v>
      </c>
      <c r="F54" s="43">
        <v>363</v>
      </c>
      <c r="G54" s="43">
        <v>232</v>
      </c>
      <c r="H54" s="73"/>
      <c r="I54" s="214"/>
      <c r="J54" s="214"/>
      <c r="K54" s="214"/>
      <c r="L54" s="56"/>
    </row>
    <row r="55" spans="1:12" ht="14.25" x14ac:dyDescent="0.2">
      <c r="A55" s="67">
        <v>40816</v>
      </c>
      <c r="B55" s="112" t="s">
        <v>101</v>
      </c>
      <c r="C55" s="112" t="s">
        <v>101</v>
      </c>
      <c r="D55" s="112" t="s">
        <v>101</v>
      </c>
      <c r="E55" s="43">
        <v>170</v>
      </c>
      <c r="F55" s="43">
        <v>361</v>
      </c>
      <c r="G55" s="43">
        <v>225</v>
      </c>
      <c r="H55" s="73"/>
      <c r="I55" s="214"/>
      <c r="J55" s="214"/>
      <c r="K55" s="214"/>
      <c r="L55" s="56"/>
    </row>
    <row r="56" spans="1:12" ht="14.25" x14ac:dyDescent="0.2">
      <c r="A56" s="67">
        <v>40908</v>
      </c>
      <c r="B56" s="112" t="s">
        <v>101</v>
      </c>
      <c r="C56" s="112" t="s">
        <v>101</v>
      </c>
      <c r="D56" s="112" t="s">
        <v>101</v>
      </c>
      <c r="E56" s="43">
        <v>162</v>
      </c>
      <c r="F56" s="43">
        <v>359</v>
      </c>
      <c r="G56" s="43">
        <v>220</v>
      </c>
      <c r="H56" s="73"/>
      <c r="I56" s="214"/>
      <c r="J56" s="214"/>
      <c r="K56" s="214"/>
      <c r="L56" s="56"/>
    </row>
    <row r="57" spans="1:12" ht="14.25" x14ac:dyDescent="0.2">
      <c r="A57" s="67">
        <v>40999</v>
      </c>
      <c r="B57" s="112" t="s">
        <v>101</v>
      </c>
      <c r="C57" s="112" t="s">
        <v>101</v>
      </c>
      <c r="D57" s="112" t="s">
        <v>101</v>
      </c>
      <c r="E57" s="43">
        <v>175</v>
      </c>
      <c r="F57" s="43">
        <v>364</v>
      </c>
      <c r="G57" s="43">
        <v>219</v>
      </c>
      <c r="H57" s="73"/>
      <c r="I57" s="214"/>
      <c r="J57" s="214"/>
      <c r="K57" s="214"/>
      <c r="L57" s="56"/>
    </row>
    <row r="58" spans="1:12" ht="14.25" x14ac:dyDescent="0.2">
      <c r="A58" s="67">
        <v>41090</v>
      </c>
      <c r="B58" s="112" t="s">
        <v>101</v>
      </c>
      <c r="C58" s="112" t="s">
        <v>101</v>
      </c>
      <c r="D58" s="112" t="s">
        <v>101</v>
      </c>
      <c r="E58" s="43">
        <v>170</v>
      </c>
      <c r="F58" s="43">
        <v>357</v>
      </c>
      <c r="G58" s="43">
        <v>219</v>
      </c>
      <c r="H58" s="73"/>
      <c r="I58" s="214"/>
      <c r="J58" s="214"/>
      <c r="K58" s="214"/>
      <c r="L58" s="56"/>
    </row>
    <row r="59" spans="1:12" ht="14.25" x14ac:dyDescent="0.2">
      <c r="A59" s="67">
        <v>41182</v>
      </c>
      <c r="B59" s="112" t="s">
        <v>101</v>
      </c>
      <c r="C59" s="112" t="s">
        <v>101</v>
      </c>
      <c r="D59" s="112" t="s">
        <v>101</v>
      </c>
      <c r="E59" s="43">
        <v>175</v>
      </c>
      <c r="F59" s="43">
        <v>358</v>
      </c>
      <c r="G59" s="43">
        <v>218</v>
      </c>
      <c r="H59" s="73"/>
      <c r="I59" s="214"/>
      <c r="J59" s="214"/>
      <c r="K59" s="214"/>
      <c r="L59" s="56"/>
    </row>
    <row r="60" spans="1:12" ht="14.25" x14ac:dyDescent="0.2">
      <c r="A60" s="67">
        <v>41274</v>
      </c>
      <c r="B60" s="112" t="s">
        <v>101</v>
      </c>
      <c r="C60" s="112" t="s">
        <v>101</v>
      </c>
      <c r="D60" s="112" t="s">
        <v>101</v>
      </c>
      <c r="E60" s="43">
        <v>158</v>
      </c>
      <c r="F60" s="43">
        <v>361</v>
      </c>
      <c r="G60" s="43">
        <v>216</v>
      </c>
      <c r="H60" s="73"/>
      <c r="I60" s="214"/>
      <c r="J60" s="214"/>
      <c r="K60" s="214"/>
      <c r="L60" s="56"/>
    </row>
    <row r="61" spans="1:12" ht="14.25" x14ac:dyDescent="0.2">
      <c r="A61" s="67">
        <v>41364</v>
      </c>
      <c r="B61" s="112" t="s">
        <v>101</v>
      </c>
      <c r="C61" s="112" t="s">
        <v>101</v>
      </c>
      <c r="D61" s="112" t="s">
        <v>101</v>
      </c>
      <c r="E61" s="43">
        <v>188</v>
      </c>
      <c r="F61" s="43">
        <v>358</v>
      </c>
      <c r="G61" s="43">
        <v>213</v>
      </c>
      <c r="H61" s="73"/>
      <c r="I61" s="214"/>
      <c r="J61" s="214"/>
      <c r="K61" s="214"/>
      <c r="L61" s="56"/>
    </row>
    <row r="62" spans="1:12" ht="14.25" x14ac:dyDescent="0.2">
      <c r="A62" s="67">
        <v>41455</v>
      </c>
      <c r="B62" s="112" t="s">
        <v>101</v>
      </c>
      <c r="C62" s="112" t="s">
        <v>101</v>
      </c>
      <c r="D62" s="112" t="s">
        <v>101</v>
      </c>
      <c r="E62" s="43">
        <v>193</v>
      </c>
      <c r="F62" s="43">
        <v>365</v>
      </c>
      <c r="G62" s="43">
        <v>215</v>
      </c>
      <c r="H62" s="73"/>
      <c r="I62" s="214"/>
      <c r="J62" s="214"/>
      <c r="K62" s="214"/>
      <c r="L62" s="56"/>
    </row>
    <row r="63" spans="1:12" ht="14.25" x14ac:dyDescent="0.2">
      <c r="A63" s="67">
        <v>41547</v>
      </c>
      <c r="B63" s="112" t="s">
        <v>101</v>
      </c>
      <c r="C63" s="112" t="s">
        <v>101</v>
      </c>
      <c r="D63" s="112" t="s">
        <v>101</v>
      </c>
      <c r="E63" s="43">
        <v>168</v>
      </c>
      <c r="F63" s="43">
        <v>358</v>
      </c>
      <c r="G63" s="43">
        <v>209</v>
      </c>
      <c r="H63" s="73"/>
      <c r="I63" s="214"/>
      <c r="J63" s="214"/>
      <c r="K63" s="214"/>
      <c r="L63" s="56"/>
    </row>
    <row r="64" spans="1:12" ht="14.25" x14ac:dyDescent="0.2">
      <c r="A64" s="67">
        <v>41639</v>
      </c>
      <c r="B64" s="112" t="s">
        <v>101</v>
      </c>
      <c r="C64" s="112" t="s">
        <v>101</v>
      </c>
      <c r="D64" s="112" t="s">
        <v>101</v>
      </c>
      <c r="E64" s="43">
        <v>141</v>
      </c>
      <c r="F64" s="43">
        <v>357</v>
      </c>
      <c r="G64" s="43">
        <v>205</v>
      </c>
      <c r="H64" s="73"/>
      <c r="I64" s="214"/>
      <c r="J64" s="214"/>
      <c r="K64" s="214"/>
      <c r="L64" s="56"/>
    </row>
    <row r="65" spans="1:12" ht="14.25" x14ac:dyDescent="0.2">
      <c r="A65" s="67">
        <v>41729</v>
      </c>
      <c r="B65" s="112" t="s">
        <v>101</v>
      </c>
      <c r="C65" s="112" t="s">
        <v>101</v>
      </c>
      <c r="D65" s="112" t="s">
        <v>101</v>
      </c>
      <c r="E65" s="43">
        <v>167</v>
      </c>
      <c r="F65" s="43">
        <v>359</v>
      </c>
      <c r="G65" s="43">
        <v>206</v>
      </c>
      <c r="H65" s="73"/>
      <c r="I65" s="214"/>
      <c r="J65" s="214"/>
      <c r="K65" s="214"/>
      <c r="L65" s="56"/>
    </row>
    <row r="66" spans="1:12" ht="14.25" x14ac:dyDescent="0.2">
      <c r="A66" s="67">
        <v>41820</v>
      </c>
      <c r="B66" s="112" t="s">
        <v>101</v>
      </c>
      <c r="C66" s="112" t="s">
        <v>101</v>
      </c>
      <c r="D66" s="112" t="s">
        <v>101</v>
      </c>
      <c r="E66" s="43">
        <v>184</v>
      </c>
      <c r="F66" s="43">
        <v>371</v>
      </c>
      <c r="G66" s="43">
        <v>207</v>
      </c>
      <c r="H66" s="73"/>
      <c r="I66" s="214"/>
      <c r="J66" s="214"/>
      <c r="K66" s="214"/>
      <c r="L66" s="56"/>
    </row>
    <row r="67" spans="1:12" ht="14.25" x14ac:dyDescent="0.2">
      <c r="A67" s="67">
        <v>41912</v>
      </c>
      <c r="B67" s="112" t="s">
        <v>101</v>
      </c>
      <c r="C67" s="112" t="s">
        <v>101</v>
      </c>
      <c r="D67" s="112" t="s">
        <v>101</v>
      </c>
      <c r="E67" s="43">
        <v>184</v>
      </c>
      <c r="F67" s="43">
        <v>375</v>
      </c>
      <c r="G67" s="43">
        <v>207</v>
      </c>
      <c r="H67" s="73"/>
      <c r="I67" s="214"/>
      <c r="J67" s="214"/>
      <c r="K67" s="214"/>
      <c r="L67" s="56"/>
    </row>
    <row r="68" spans="1:12" ht="14.25" x14ac:dyDescent="0.2">
      <c r="A68" s="67">
        <v>42004</v>
      </c>
      <c r="B68" s="112" t="s">
        <v>101</v>
      </c>
      <c r="C68" s="112" t="s">
        <v>101</v>
      </c>
      <c r="D68" s="112" t="s">
        <v>101</v>
      </c>
      <c r="E68" s="43">
        <v>223</v>
      </c>
      <c r="F68" s="43">
        <v>375</v>
      </c>
      <c r="G68" s="43">
        <v>201</v>
      </c>
      <c r="H68" s="73"/>
      <c r="I68" s="214"/>
      <c r="J68" s="214"/>
      <c r="K68" s="214"/>
      <c r="L68" s="56"/>
    </row>
    <row r="69" spans="1:12" ht="14.25" x14ac:dyDescent="0.2">
      <c r="A69" s="67">
        <v>42094</v>
      </c>
      <c r="B69" s="112" t="s">
        <v>101</v>
      </c>
      <c r="C69" s="112" t="s">
        <v>101</v>
      </c>
      <c r="D69" s="112" t="s">
        <v>101</v>
      </c>
      <c r="E69" s="43">
        <v>238</v>
      </c>
      <c r="F69" s="43">
        <v>374</v>
      </c>
      <c r="G69" s="43">
        <v>199</v>
      </c>
      <c r="H69" s="73"/>
      <c r="I69" s="54" t="s">
        <v>143</v>
      </c>
      <c r="J69" s="54" t="s">
        <v>143</v>
      </c>
      <c r="K69" s="54" t="s">
        <v>143</v>
      </c>
      <c r="L69" s="54" t="s">
        <v>10</v>
      </c>
    </row>
    <row r="70" spans="1:12" ht="14.25" x14ac:dyDescent="0.2">
      <c r="A70" s="67">
        <v>42185</v>
      </c>
      <c r="B70" s="112" t="s">
        <v>101</v>
      </c>
      <c r="C70" s="112" t="s">
        <v>101</v>
      </c>
      <c r="D70" s="112" t="s">
        <v>101</v>
      </c>
      <c r="E70" s="43">
        <v>241</v>
      </c>
      <c r="F70" s="43">
        <v>376</v>
      </c>
      <c r="G70" s="43">
        <v>197</v>
      </c>
      <c r="H70" s="73"/>
      <c r="I70" s="54" t="s">
        <v>45</v>
      </c>
      <c r="J70" s="54" t="s">
        <v>31</v>
      </c>
      <c r="K70" s="54" t="s">
        <v>45</v>
      </c>
      <c r="L70" s="111" t="s">
        <v>45</v>
      </c>
    </row>
    <row r="71" spans="1:12" ht="14.25" x14ac:dyDescent="0.2">
      <c r="A71" s="67">
        <v>42277</v>
      </c>
      <c r="B71" s="112" t="s">
        <v>101</v>
      </c>
      <c r="C71" s="112" t="s">
        <v>101</v>
      </c>
      <c r="D71" s="112" t="s">
        <v>101</v>
      </c>
      <c r="E71" s="43">
        <v>224</v>
      </c>
      <c r="F71" s="43">
        <v>373</v>
      </c>
      <c r="G71" s="43">
        <v>195</v>
      </c>
      <c r="H71" s="73"/>
      <c r="I71" s="222" t="s">
        <v>12</v>
      </c>
      <c r="J71" s="222" t="s">
        <v>12</v>
      </c>
      <c r="K71" s="222" t="s">
        <v>12</v>
      </c>
      <c r="L71" s="54" t="s">
        <v>12</v>
      </c>
    </row>
    <row r="72" spans="1:12" ht="14.25" x14ac:dyDescent="0.2">
      <c r="A72" s="67">
        <v>42369</v>
      </c>
      <c r="B72" s="112" t="s">
        <v>101</v>
      </c>
      <c r="C72" s="112" t="s">
        <v>101</v>
      </c>
      <c r="D72" s="112" t="s">
        <v>101</v>
      </c>
      <c r="E72" s="43">
        <v>222</v>
      </c>
      <c r="F72" s="43">
        <v>357</v>
      </c>
      <c r="G72" s="43">
        <v>195</v>
      </c>
      <c r="H72" s="73"/>
      <c r="I72" s="54" t="s">
        <v>89</v>
      </c>
      <c r="J72" s="54" t="s">
        <v>89</v>
      </c>
      <c r="K72" s="54" t="s">
        <v>91</v>
      </c>
      <c r="L72" s="222"/>
    </row>
    <row r="73" spans="1:12" ht="14.25" x14ac:dyDescent="0.2">
      <c r="A73" s="67">
        <v>42460</v>
      </c>
      <c r="B73" s="112" t="s">
        <v>101</v>
      </c>
      <c r="C73" s="112" t="s">
        <v>101</v>
      </c>
      <c r="D73" s="112" t="s">
        <v>101</v>
      </c>
      <c r="E73" s="43">
        <v>188</v>
      </c>
      <c r="F73" s="43">
        <v>357</v>
      </c>
      <c r="G73" s="43">
        <v>193</v>
      </c>
      <c r="H73" s="73"/>
      <c r="I73" s="54" t="s">
        <v>88</v>
      </c>
      <c r="J73" s="54" t="s">
        <v>88</v>
      </c>
      <c r="K73" s="54" t="s">
        <v>90</v>
      </c>
      <c r="L73" s="54"/>
    </row>
    <row r="74" spans="1:12" x14ac:dyDescent="0.2">
      <c r="A74" s="67">
        <v>42551</v>
      </c>
      <c r="B74" s="43">
        <v>2772</v>
      </c>
      <c r="C74" s="43">
        <v>158</v>
      </c>
      <c r="D74" s="43">
        <v>142</v>
      </c>
      <c r="E74" s="43">
        <v>245</v>
      </c>
      <c r="F74" s="43">
        <v>342</v>
      </c>
      <c r="G74" s="43">
        <v>208</v>
      </c>
      <c r="H74" s="73"/>
      <c r="I74" s="54" t="s">
        <v>83</v>
      </c>
      <c r="J74" s="54" t="s">
        <v>84</v>
      </c>
      <c r="K74" s="196" t="s">
        <v>85</v>
      </c>
      <c r="L74" s="222"/>
    </row>
    <row r="75" spans="1:12" x14ac:dyDescent="0.2">
      <c r="A75" s="67">
        <v>42643</v>
      </c>
      <c r="B75" s="43">
        <v>2752</v>
      </c>
      <c r="C75" s="43">
        <v>158</v>
      </c>
      <c r="D75" s="43">
        <v>140</v>
      </c>
      <c r="E75" s="43">
        <v>496</v>
      </c>
      <c r="F75" s="43">
        <v>353</v>
      </c>
      <c r="G75" s="43">
        <v>225</v>
      </c>
      <c r="H75" s="73"/>
      <c r="I75" s="76" t="s">
        <v>82</v>
      </c>
      <c r="J75" s="76" t="s">
        <v>82</v>
      </c>
      <c r="K75" s="223"/>
      <c r="L75" s="223"/>
    </row>
    <row r="76" spans="1:12" x14ac:dyDescent="0.2">
      <c r="A76" s="67">
        <v>42735</v>
      </c>
      <c r="B76" s="43">
        <v>2693</v>
      </c>
      <c r="C76" s="43">
        <v>156</v>
      </c>
      <c r="D76" s="43">
        <v>128</v>
      </c>
      <c r="E76" s="43">
        <v>580</v>
      </c>
      <c r="F76" s="43">
        <v>344</v>
      </c>
      <c r="G76" s="43">
        <v>239</v>
      </c>
      <c r="H76" s="73"/>
      <c r="I76" s="214">
        <f t="shared" ref="I76:K79" si="0">B76/$L76*100</f>
        <v>57.690659811482433</v>
      </c>
      <c r="J76" s="214">
        <f t="shared" si="0"/>
        <v>3.3419023136246784</v>
      </c>
      <c r="K76" s="214">
        <f t="shared" si="0"/>
        <v>2.7420736932305059</v>
      </c>
      <c r="L76" s="56">
        <f>'Tabell 2'!C71</f>
        <v>4668</v>
      </c>
    </row>
    <row r="77" spans="1:12" x14ac:dyDescent="0.2">
      <c r="A77" s="67">
        <v>42825</v>
      </c>
      <c r="B77" s="43">
        <v>2775</v>
      </c>
      <c r="C77" s="43">
        <v>163</v>
      </c>
      <c r="D77" s="43">
        <v>140</v>
      </c>
      <c r="E77" s="43">
        <v>744</v>
      </c>
      <c r="F77" s="43">
        <v>347</v>
      </c>
      <c r="G77" s="43">
        <v>261</v>
      </c>
      <c r="H77" s="73"/>
      <c r="I77" s="214">
        <f t="shared" si="0"/>
        <v>59.181062060140754</v>
      </c>
      <c r="J77" s="214">
        <f t="shared" si="0"/>
        <v>3.4762209426316915</v>
      </c>
      <c r="K77" s="214">
        <f t="shared" si="0"/>
        <v>2.9857112390701643</v>
      </c>
      <c r="L77" s="56">
        <f>'Tabell 2'!C72</f>
        <v>4689</v>
      </c>
    </row>
    <row r="78" spans="1:12" x14ac:dyDescent="0.2">
      <c r="A78" s="67">
        <v>42916</v>
      </c>
      <c r="B78" s="43">
        <v>2802</v>
      </c>
      <c r="C78" s="43">
        <v>154</v>
      </c>
      <c r="D78" s="43">
        <v>134</v>
      </c>
      <c r="E78" s="43">
        <v>785</v>
      </c>
      <c r="F78" s="43">
        <v>348</v>
      </c>
      <c r="G78" s="43">
        <v>288</v>
      </c>
      <c r="H78" s="73"/>
      <c r="I78" s="214">
        <f t="shared" si="0"/>
        <v>59.553666312433585</v>
      </c>
      <c r="J78" s="214">
        <f t="shared" si="0"/>
        <v>3.2731137088204041</v>
      </c>
      <c r="K78" s="214">
        <f t="shared" si="0"/>
        <v>2.8480340063761953</v>
      </c>
      <c r="L78" s="56">
        <f>'Tabell 2'!C73</f>
        <v>4705</v>
      </c>
    </row>
    <row r="79" spans="1:12" x14ac:dyDescent="0.2">
      <c r="A79" s="67">
        <v>43008</v>
      </c>
      <c r="B79" s="43">
        <v>2890</v>
      </c>
      <c r="C79" s="43">
        <v>154</v>
      </c>
      <c r="D79" s="43">
        <v>134</v>
      </c>
      <c r="E79" s="43">
        <v>823</v>
      </c>
      <c r="F79" s="43">
        <v>355</v>
      </c>
      <c r="G79" s="43">
        <v>315</v>
      </c>
      <c r="H79" s="73"/>
      <c r="I79" s="214">
        <f t="shared" si="0"/>
        <v>60.931899641577061</v>
      </c>
      <c r="J79" s="214">
        <f t="shared" si="0"/>
        <v>3.2468901539110266</v>
      </c>
      <c r="K79" s="214">
        <f t="shared" si="0"/>
        <v>2.825216107948556</v>
      </c>
      <c r="L79" s="56">
        <f>'Tabell 2'!C74</f>
        <v>4743</v>
      </c>
    </row>
    <row r="80" spans="1:12" x14ac:dyDescent="0.2">
      <c r="A80" s="67">
        <v>43100</v>
      </c>
      <c r="B80" s="227">
        <f>'ny tabell 6 spes fastlønn'!$B$6</f>
        <v>2910</v>
      </c>
      <c r="C80" s="43">
        <v>154</v>
      </c>
      <c r="D80" s="43">
        <v>132</v>
      </c>
      <c r="E80" s="43">
        <v>885</v>
      </c>
      <c r="F80" s="43">
        <v>357</v>
      </c>
      <c r="G80" s="227">
        <f>'ny tabell 6 spes fastlønn'!$B$4</f>
        <v>551</v>
      </c>
      <c r="H80" s="73"/>
      <c r="I80" s="229">
        <f>B80/$L80*100</f>
        <v>61.147299852910272</v>
      </c>
      <c r="J80" s="214">
        <f t="shared" ref="I80:K81" si="1">C80/$L80*100</f>
        <v>3.235973944105905</v>
      </c>
      <c r="K80" s="214">
        <f t="shared" si="1"/>
        <v>2.7736919520907755</v>
      </c>
      <c r="L80" s="56">
        <f>'Tabell 2'!C75</f>
        <v>4759</v>
      </c>
    </row>
    <row r="81" spans="1:12" x14ac:dyDescent="0.2">
      <c r="A81" s="67">
        <v>43190</v>
      </c>
      <c r="B81" s="227">
        <f>'ny tabell 6 spes fastlønn'!$C$6</f>
        <v>2914</v>
      </c>
      <c r="C81" s="43">
        <v>147</v>
      </c>
      <c r="D81" s="43">
        <v>127</v>
      </c>
      <c r="E81" s="43">
        <v>892</v>
      </c>
      <c r="F81" s="43">
        <v>344</v>
      </c>
      <c r="G81" s="227">
        <f>'ny tabell 6 spes fastlønn'!$C$4</f>
        <v>564</v>
      </c>
      <c r="H81" s="73"/>
      <c r="I81" s="229">
        <f t="shared" si="1"/>
        <v>60.975099393178489</v>
      </c>
      <c r="J81" s="214">
        <f t="shared" si="1"/>
        <v>3.0759573132454485</v>
      </c>
      <c r="K81" s="214">
        <f t="shared" si="1"/>
        <v>2.6574597196066123</v>
      </c>
      <c r="L81" s="56">
        <f>'Tabell 2'!C76</f>
        <v>4779</v>
      </c>
    </row>
    <row r="82" spans="1:12" x14ac:dyDescent="0.2">
      <c r="A82" s="67">
        <v>43281</v>
      </c>
      <c r="B82" s="227">
        <f>'ny tabell 6 spes fastlønn'!$D$6</f>
        <v>2933</v>
      </c>
      <c r="C82" s="43">
        <v>158</v>
      </c>
      <c r="D82" s="43">
        <v>147</v>
      </c>
      <c r="E82" s="43">
        <v>943</v>
      </c>
      <c r="F82" s="43">
        <v>353</v>
      </c>
      <c r="G82" s="227">
        <f>'ny tabell 6 spes fastlønn'!$D$4</f>
        <v>570</v>
      </c>
      <c r="H82" s="73"/>
      <c r="I82" s="229">
        <f t="shared" ref="I82:K83" si="2">B82/$L82*100</f>
        <v>61.372672107135386</v>
      </c>
      <c r="J82" s="214">
        <f t="shared" si="2"/>
        <v>3.306130989746809</v>
      </c>
      <c r="K82" s="214">
        <f t="shared" si="2"/>
        <v>3.0759573132454485</v>
      </c>
      <c r="L82" s="56">
        <f>'Tabell 2'!C77</f>
        <v>4779</v>
      </c>
    </row>
    <row r="83" spans="1:12" x14ac:dyDescent="0.2">
      <c r="A83" s="67">
        <v>43373</v>
      </c>
      <c r="B83" s="227">
        <f>'ny tabell 6 spes fastlønn'!$E$6</f>
        <v>2930</v>
      </c>
      <c r="C83" s="43">
        <v>157</v>
      </c>
      <c r="D83" s="43">
        <v>146</v>
      </c>
      <c r="E83" s="43">
        <v>953</v>
      </c>
      <c r="F83" s="43">
        <v>339</v>
      </c>
      <c r="G83" s="227">
        <f>'ny tabell 6 spes fastlønn'!$E$4</f>
        <v>599</v>
      </c>
      <c r="H83" s="73"/>
      <c r="I83" s="229">
        <f t="shared" si="2"/>
        <v>60.952777199916788</v>
      </c>
      <c r="J83" s="214">
        <f t="shared" si="2"/>
        <v>3.2660703141252343</v>
      </c>
      <c r="K83" s="214">
        <f t="shared" si="2"/>
        <v>3.0372373621801541</v>
      </c>
      <c r="L83" s="56">
        <f>'Tabell 2'!C78</f>
        <v>4807</v>
      </c>
    </row>
    <row r="84" spans="1:12" x14ac:dyDescent="0.2">
      <c r="A84" s="67">
        <v>43465</v>
      </c>
      <c r="B84" s="227">
        <f>'ny tabell 6 spes fastlønn'!$F$6</f>
        <v>2950</v>
      </c>
      <c r="C84" s="43">
        <v>162</v>
      </c>
      <c r="D84" s="43">
        <v>150</v>
      </c>
      <c r="E84" s="43">
        <v>996</v>
      </c>
      <c r="F84" s="43">
        <v>326</v>
      </c>
      <c r="G84" s="227">
        <f>'ny tabell 6 spes fastlønn'!$F$4</f>
        <v>611</v>
      </c>
      <c r="H84" s="73"/>
      <c r="I84" s="229">
        <f t="shared" ref="I84:K85" si="3">B84/$L84*100</f>
        <v>61.279601163273789</v>
      </c>
      <c r="J84" s="214">
        <f t="shared" si="3"/>
        <v>3.3651848774407975</v>
      </c>
      <c r="K84" s="214">
        <f t="shared" si="3"/>
        <v>3.1159119235562938</v>
      </c>
      <c r="L84" s="56">
        <f>'Tabell 2'!C79</f>
        <v>4814</v>
      </c>
    </row>
    <row r="85" spans="1:12" x14ac:dyDescent="0.2">
      <c r="A85" s="67">
        <v>43555</v>
      </c>
      <c r="B85" s="227">
        <f>'ny tabell 6 spes fastlønn'!$G$6</f>
        <v>2971</v>
      </c>
      <c r="C85" s="43">
        <v>161</v>
      </c>
      <c r="D85" s="43">
        <v>152</v>
      </c>
      <c r="E85" s="43">
        <v>961</v>
      </c>
      <c r="F85" s="43">
        <v>332</v>
      </c>
      <c r="G85" s="227">
        <f>'ny tabell 6 spes fastlønn'!$G$4</f>
        <v>633</v>
      </c>
      <c r="H85" s="73"/>
      <c r="I85" s="229">
        <f t="shared" si="3"/>
        <v>61.473205048624045</v>
      </c>
      <c r="J85" s="214">
        <f t="shared" si="3"/>
        <v>3.3312642251189741</v>
      </c>
      <c r="K85" s="214">
        <f t="shared" si="3"/>
        <v>3.1450444858266082</v>
      </c>
      <c r="L85" s="56">
        <f>'Tabell 2'!C80</f>
        <v>4833</v>
      </c>
    </row>
    <row r="86" spans="1:12" x14ac:dyDescent="0.2">
      <c r="A86" s="67">
        <v>43646</v>
      </c>
      <c r="B86" s="227">
        <f>'ny tabell 6 spes fastlønn'!$H$6</f>
        <v>3000</v>
      </c>
      <c r="C86" s="43">
        <v>152</v>
      </c>
      <c r="D86" s="43">
        <v>144</v>
      </c>
      <c r="E86" s="43">
        <v>1003</v>
      </c>
      <c r="F86" s="43">
        <v>325</v>
      </c>
      <c r="G86" s="227">
        <f>'ny tabell 6 spes fastlønn'!$H$4</f>
        <v>642</v>
      </c>
      <c r="H86" s="73"/>
      <c r="I86" s="229">
        <f t="shared" ref="I86" si="4">B86/$L86*100</f>
        <v>61.906727197688816</v>
      </c>
      <c r="J86" s="214">
        <f t="shared" ref="J86" si="5">C86/$L86*100</f>
        <v>3.1366075113495664</v>
      </c>
      <c r="K86" s="214">
        <f t="shared" ref="K86" si="6">D86/$L86*100</f>
        <v>2.9715229054890635</v>
      </c>
      <c r="L86" s="56">
        <f>'Tabell 2'!C81</f>
        <v>4846</v>
      </c>
    </row>
    <row r="87" spans="1:12" x14ac:dyDescent="0.2">
      <c r="A87" s="67">
        <v>43738</v>
      </c>
      <c r="B87" s="227">
        <f>'ny tabell 6 spes fastlønn'!$I$6</f>
        <v>3010</v>
      </c>
      <c r="C87" s="43">
        <v>147</v>
      </c>
      <c r="D87" s="43">
        <v>140</v>
      </c>
      <c r="E87" s="43">
        <v>1063</v>
      </c>
      <c r="F87" s="43">
        <v>322</v>
      </c>
      <c r="G87" s="227">
        <f>'ny tabell 6 spes fastlønn'!$I$4</f>
        <v>669</v>
      </c>
      <c r="H87" s="73"/>
      <c r="I87" s="229">
        <f t="shared" ref="I87" si="7">B87/$L87*100</f>
        <v>61.857788738183316</v>
      </c>
      <c r="J87" s="214">
        <f t="shared" ref="J87" si="8">C87/$L87*100</f>
        <v>3.0209617755856968</v>
      </c>
      <c r="K87" s="214">
        <f t="shared" ref="K87" si="9">D87/$L87*100</f>
        <v>2.8771064529387589</v>
      </c>
      <c r="L87" s="56">
        <f>'Tabell 2'!C82</f>
        <v>4866</v>
      </c>
    </row>
    <row r="88" spans="1:12" x14ac:dyDescent="0.2">
      <c r="A88" s="67">
        <v>43830</v>
      </c>
      <c r="B88" s="227">
        <f>'ny tabell 6 spes fastlønn'!$J$6</f>
        <v>3049</v>
      </c>
      <c r="C88" s="43">
        <v>149</v>
      </c>
      <c r="D88" s="43">
        <v>141</v>
      </c>
      <c r="E88" s="43">
        <v>1104</v>
      </c>
      <c r="F88" s="43">
        <v>323</v>
      </c>
      <c r="G88" s="227">
        <f>'ny tabell 6 spes fastlønn'!$J$4</f>
        <v>683</v>
      </c>
      <c r="H88" s="73"/>
      <c r="I88" s="229">
        <f>B88/$L88*100</f>
        <v>62.428337428337436</v>
      </c>
      <c r="J88" s="214">
        <f t="shared" ref="J88" si="10">C88/$L88*100</f>
        <v>3.0507780507780509</v>
      </c>
      <c r="K88" s="214">
        <f t="shared" ref="K88" si="11">D88/$L88*100</f>
        <v>2.886977886977887</v>
      </c>
      <c r="L88" s="56">
        <f>'Tabell 2'!C83</f>
        <v>4884</v>
      </c>
    </row>
    <row r="89" spans="1:12" x14ac:dyDescent="0.2">
      <c r="A89" s="67">
        <v>43921</v>
      </c>
      <c r="B89" s="227">
        <f>'ny tabell 6 spes fastlønn'!$K$6</f>
        <v>3067</v>
      </c>
      <c r="C89" s="43">
        <v>149</v>
      </c>
      <c r="D89" s="43">
        <v>141</v>
      </c>
      <c r="E89" s="43">
        <v>1129</v>
      </c>
      <c r="F89" s="43">
        <v>320</v>
      </c>
      <c r="G89" s="227">
        <f>'ny tabell 6 spes fastlønn'!$K$4</f>
        <v>707</v>
      </c>
      <c r="H89" s="73"/>
      <c r="I89" s="229">
        <f>B89/$L89*100</f>
        <v>62.27411167512691</v>
      </c>
      <c r="J89" s="214">
        <f t="shared" ref="J89" si="12">C89/$L89*100</f>
        <v>3.0253807106598982</v>
      </c>
      <c r="K89" s="214">
        <f t="shared" ref="K89" si="13">D89/$L89*100</f>
        <v>2.8629441624365484</v>
      </c>
      <c r="L89" s="56">
        <f>'Tabell 2'!C84</f>
        <v>4925</v>
      </c>
    </row>
    <row r="90" spans="1:12" x14ac:dyDescent="0.2">
      <c r="A90" s="67">
        <v>44104</v>
      </c>
      <c r="B90" s="227">
        <f>'ny tabell 6 spes fastlønn'!$L$6</f>
        <v>3093</v>
      </c>
      <c r="C90" s="43">
        <v>143</v>
      </c>
      <c r="D90" s="43">
        <v>133</v>
      </c>
      <c r="E90" s="43">
        <v>990</v>
      </c>
      <c r="F90" s="43">
        <v>290</v>
      </c>
      <c r="G90" s="227">
        <f>'ny tabell 6 spes fastlønn'!$L$4</f>
        <v>732</v>
      </c>
      <c r="H90" s="73"/>
      <c r="I90" s="229">
        <f>B90/$L90*100</f>
        <v>62.346301148961899</v>
      </c>
      <c r="J90" s="214">
        <f t="shared" ref="J90" si="14">C90/$L90*100</f>
        <v>2.8824833702882482</v>
      </c>
      <c r="K90" s="214">
        <f t="shared" ref="K90" si="15">D90/$L90*100</f>
        <v>2.6809111066317275</v>
      </c>
      <c r="L90" s="56">
        <f>'Tabell 2'!C85</f>
        <v>4961</v>
      </c>
    </row>
    <row r="91" spans="1:12" x14ac:dyDescent="0.2">
      <c r="A91" s="67">
        <v>44196</v>
      </c>
      <c r="B91" s="227">
        <f>'ny tabell 6 spes fastlønn'!M6</f>
        <v>3127</v>
      </c>
      <c r="C91" s="43">
        <v>140</v>
      </c>
      <c r="D91" s="43">
        <v>130</v>
      </c>
      <c r="E91" s="43">
        <v>1069</v>
      </c>
      <c r="F91" s="43">
        <v>293</v>
      </c>
      <c r="G91" s="227">
        <f>'ny tabell 6 spes fastlønn'!M4</f>
        <v>731</v>
      </c>
      <c r="H91" s="73"/>
      <c r="I91" s="229">
        <f>B91/$L91*100</f>
        <v>63.158957786305791</v>
      </c>
      <c r="J91" s="214">
        <f t="shared" ref="J91" si="16">C91/$L91*100</f>
        <v>2.8277115734195113</v>
      </c>
      <c r="K91" s="214">
        <f t="shared" ref="K91" si="17">D91/$L91*100</f>
        <v>2.6257321753181175</v>
      </c>
      <c r="L91" s="56">
        <f>'Tabell 2'!C86</f>
        <v>4951</v>
      </c>
    </row>
    <row r="92" spans="1:12" x14ac:dyDescent="0.2">
      <c r="A92" s="34" t="s">
        <v>38</v>
      </c>
      <c r="D92" s="228" t="s">
        <v>354</v>
      </c>
      <c r="E92" s="228"/>
      <c r="F92" s="228" t="s">
        <v>355</v>
      </c>
      <c r="G92" s="228"/>
      <c r="H92" s="228"/>
      <c r="I92" s="228" t="s">
        <v>354</v>
      </c>
      <c r="J92" s="228"/>
      <c r="K92" s="228"/>
    </row>
    <row r="93" spans="1:12" x14ac:dyDescent="0.2">
      <c r="A93" s="90" t="s">
        <v>109</v>
      </c>
      <c r="F93" s="228" t="s">
        <v>360</v>
      </c>
      <c r="G93" s="228"/>
      <c r="H93" s="228"/>
      <c r="I93" s="228"/>
      <c r="J93" s="228"/>
    </row>
    <row r="94" spans="1:12" x14ac:dyDescent="0.2">
      <c r="A94" t="s">
        <v>162</v>
      </c>
      <c r="F94" s="228" t="s">
        <v>356</v>
      </c>
      <c r="G94" s="228"/>
      <c r="H94" s="228"/>
      <c r="I94" s="228"/>
      <c r="J94" s="228"/>
    </row>
    <row r="95" spans="1:12" x14ac:dyDescent="0.2">
      <c r="C95" s="54"/>
      <c r="E95" s="64"/>
      <c r="F95" s="230" t="s">
        <v>357</v>
      </c>
      <c r="G95" s="231"/>
      <c r="H95" s="231"/>
      <c r="I95" s="228"/>
      <c r="J95" s="232"/>
    </row>
    <row r="96" spans="1:12" x14ac:dyDescent="0.2">
      <c r="A96" s="16"/>
      <c r="B96" s="16"/>
      <c r="C96" s="54"/>
      <c r="E96" s="64"/>
      <c r="F96" s="233" t="s">
        <v>358</v>
      </c>
      <c r="G96" s="233"/>
      <c r="H96" s="233"/>
      <c r="I96" s="233"/>
      <c r="J96" s="232"/>
    </row>
    <row r="97" spans="1:10" x14ac:dyDescent="0.2">
      <c r="A97" s="16"/>
      <c r="B97" s="38"/>
      <c r="C97" s="53"/>
      <c r="E97" s="64"/>
      <c r="F97" s="234" t="s">
        <v>359</v>
      </c>
      <c r="G97" s="233"/>
      <c r="H97" s="233"/>
      <c r="I97" s="235"/>
      <c r="J97" s="228"/>
    </row>
    <row r="98" spans="1:10" x14ac:dyDescent="0.2">
      <c r="A98" s="16"/>
      <c r="B98" s="38"/>
      <c r="C98" s="37"/>
      <c r="E98" s="64"/>
      <c r="F98" s="64"/>
      <c r="G98" s="16"/>
      <c r="H98" s="19"/>
      <c r="I98" s="38"/>
      <c r="J98" s="37"/>
    </row>
    <row r="99" spans="1:10" x14ac:dyDescent="0.2">
      <c r="A99" s="16"/>
      <c r="B99" s="38"/>
      <c r="C99" s="53"/>
      <c r="E99" s="64"/>
      <c r="F99" s="64"/>
      <c r="G99" s="16"/>
      <c r="H99" s="19"/>
      <c r="I99" s="38"/>
      <c r="J99" s="53"/>
    </row>
    <row r="100" spans="1:10" x14ac:dyDescent="0.2">
      <c r="A100" s="16"/>
      <c r="B100" s="38"/>
      <c r="C100" s="56"/>
      <c r="E100" s="64"/>
      <c r="F100" s="64"/>
      <c r="G100" s="16"/>
      <c r="H100" s="19"/>
      <c r="I100" s="38"/>
      <c r="J100" s="56"/>
    </row>
    <row r="101" spans="1:10" x14ac:dyDescent="0.2">
      <c r="A101" s="16"/>
      <c r="B101" s="38"/>
      <c r="C101" s="56"/>
      <c r="E101" s="64"/>
      <c r="F101" s="64"/>
      <c r="G101" s="16"/>
      <c r="H101" s="19"/>
      <c r="I101" s="38"/>
      <c r="J101" s="56"/>
    </row>
    <row r="102" spans="1:10" x14ac:dyDescent="0.2">
      <c r="A102" s="16"/>
      <c r="B102" s="38"/>
      <c r="C102" s="56"/>
      <c r="E102" s="64"/>
      <c r="F102" s="64"/>
      <c r="G102" s="16"/>
      <c r="H102" s="19"/>
      <c r="I102" s="38"/>
      <c r="J102" s="56"/>
    </row>
    <row r="103" spans="1:10" x14ac:dyDescent="0.2">
      <c r="A103" s="16"/>
      <c r="B103" s="16"/>
      <c r="C103" s="38"/>
      <c r="E103" s="16"/>
      <c r="F103" s="16"/>
      <c r="G103" s="16"/>
      <c r="H103" s="19"/>
      <c r="I103" s="16"/>
      <c r="J103" s="38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4"/>
  <sheetViews>
    <sheetView topLeftCell="A4" zoomScaleNormal="100" workbookViewId="0">
      <pane ySplit="4" topLeftCell="A50" activePane="bottomLeft" state="frozen"/>
      <selection activeCell="A4" sqref="A4"/>
      <selection pane="bottomLeft" activeCell="A83" sqref="A83:G83"/>
    </sheetView>
  </sheetViews>
  <sheetFormatPr baseColWidth="10" defaultRowHeight="12.75" x14ac:dyDescent="0.2"/>
  <cols>
    <col min="1" max="1" width="11.5703125" customWidth="1"/>
    <col min="2" max="2" width="13" customWidth="1"/>
    <col min="3" max="3" width="16.28515625" customWidth="1"/>
    <col min="4" max="4" width="13.85546875" customWidth="1"/>
    <col min="5" max="5" width="11.140625" hidden="1" customWidth="1"/>
    <col min="6" max="6" width="11.140625" customWidth="1"/>
    <col min="7" max="7" width="14.140625" customWidth="1"/>
    <col min="8" max="10" width="9.7109375" customWidth="1"/>
  </cols>
  <sheetData>
    <row r="1" spans="1:7" x14ac:dyDescent="0.2">
      <c r="A1" s="26" t="s">
        <v>164</v>
      </c>
    </row>
    <row r="2" spans="1:7" x14ac:dyDescent="0.2">
      <c r="A2" s="26"/>
    </row>
    <row r="3" spans="1:7" x14ac:dyDescent="0.2">
      <c r="A3" s="32"/>
      <c r="D3" s="13" t="s">
        <v>10</v>
      </c>
      <c r="G3" s="13" t="s">
        <v>10</v>
      </c>
    </row>
    <row r="4" spans="1:7" x14ac:dyDescent="0.2">
      <c r="A4" s="32"/>
      <c r="B4" s="13" t="s">
        <v>10</v>
      </c>
      <c r="C4" s="13" t="s">
        <v>10</v>
      </c>
      <c r="D4" s="13" t="s">
        <v>43</v>
      </c>
      <c r="E4" s="13" t="s">
        <v>10</v>
      </c>
      <c r="F4" s="13" t="s">
        <v>10</v>
      </c>
      <c r="G4" s="13" t="s">
        <v>43</v>
      </c>
    </row>
    <row r="5" spans="1:7" x14ac:dyDescent="0.2">
      <c r="A5" s="32"/>
      <c r="B5" s="13" t="s">
        <v>43</v>
      </c>
      <c r="C5" s="13" t="s">
        <v>43</v>
      </c>
      <c r="D5" s="13" t="s">
        <v>46</v>
      </c>
      <c r="E5" s="13" t="s">
        <v>165</v>
      </c>
      <c r="F5" s="13" t="s">
        <v>95</v>
      </c>
      <c r="G5" s="13" t="s">
        <v>53</v>
      </c>
    </row>
    <row r="6" spans="1:7" x14ac:dyDescent="0.2">
      <c r="A6" s="32"/>
      <c r="B6" s="13" t="s">
        <v>46</v>
      </c>
      <c r="C6" s="36" t="s">
        <v>48</v>
      </c>
      <c r="D6" s="13" t="s">
        <v>111</v>
      </c>
      <c r="E6" s="13" t="s">
        <v>51</v>
      </c>
      <c r="F6" s="13" t="s">
        <v>32</v>
      </c>
      <c r="G6" s="13" t="s">
        <v>54</v>
      </c>
    </row>
    <row r="7" spans="1:7" x14ac:dyDescent="0.2">
      <c r="A7" s="95"/>
      <c r="B7" s="12" t="s">
        <v>47</v>
      </c>
      <c r="C7" s="96" t="s">
        <v>315</v>
      </c>
      <c r="D7" s="12" t="s">
        <v>316</v>
      </c>
      <c r="E7" s="96" t="s">
        <v>52</v>
      </c>
      <c r="F7" s="96" t="s">
        <v>55</v>
      </c>
      <c r="G7" s="12" t="s">
        <v>55</v>
      </c>
    </row>
    <row r="8" spans="1:7" ht="14.25" x14ac:dyDescent="0.2">
      <c r="A8" s="37" t="s">
        <v>49</v>
      </c>
      <c r="B8" s="39">
        <v>4177640</v>
      </c>
      <c r="C8" s="39">
        <v>265721</v>
      </c>
      <c r="D8" s="25">
        <f t="shared" ref="D8:D17" si="0">B8+C8</f>
        <v>4443361</v>
      </c>
      <c r="E8" s="39">
        <v>39672</v>
      </c>
      <c r="F8" s="25">
        <f t="shared" ref="F8:F17" si="1">D8+E8</f>
        <v>4483033</v>
      </c>
      <c r="G8" s="39">
        <v>24462</v>
      </c>
    </row>
    <row r="9" spans="1:7" x14ac:dyDescent="0.2">
      <c r="A9" s="37">
        <v>37072</v>
      </c>
      <c r="B9" s="39">
        <v>4250703</v>
      </c>
      <c r="C9" s="39">
        <v>200705</v>
      </c>
      <c r="D9" s="25">
        <f t="shared" si="0"/>
        <v>4451408</v>
      </c>
      <c r="E9" s="39">
        <v>43678</v>
      </c>
      <c r="F9" s="25">
        <f t="shared" si="1"/>
        <v>4495086</v>
      </c>
      <c r="G9" s="39">
        <v>25072</v>
      </c>
    </row>
    <row r="10" spans="1:7" x14ac:dyDescent="0.2">
      <c r="A10" s="37">
        <v>37164</v>
      </c>
      <c r="B10" s="39">
        <v>4335920</v>
      </c>
      <c r="C10" s="39">
        <v>133814</v>
      </c>
      <c r="D10" s="25">
        <f t="shared" si="0"/>
        <v>4469734</v>
      </c>
      <c r="E10" s="39">
        <v>34999</v>
      </c>
      <c r="F10" s="25">
        <f t="shared" si="1"/>
        <v>4504733</v>
      </c>
      <c r="G10" s="39">
        <v>24168</v>
      </c>
    </row>
    <row r="11" spans="1:7" x14ac:dyDescent="0.2">
      <c r="A11" s="37">
        <v>37256</v>
      </c>
      <c r="B11" s="39">
        <v>4372498</v>
      </c>
      <c r="C11" s="39">
        <v>108502</v>
      </c>
      <c r="D11" s="25">
        <f t="shared" si="0"/>
        <v>4481000</v>
      </c>
      <c r="E11" s="66">
        <v>30764</v>
      </c>
      <c r="F11" s="25">
        <f t="shared" si="1"/>
        <v>4511764</v>
      </c>
      <c r="G11" s="66">
        <v>22582</v>
      </c>
    </row>
    <row r="12" spans="1:7" x14ac:dyDescent="0.2">
      <c r="A12" s="37">
        <v>37346</v>
      </c>
      <c r="B12" s="39">
        <v>4414814</v>
      </c>
      <c r="C12" s="39">
        <v>85376</v>
      </c>
      <c r="D12" s="25">
        <f t="shared" si="0"/>
        <v>4500190</v>
      </c>
      <c r="E12" s="39">
        <v>15223</v>
      </c>
      <c r="F12" s="25">
        <f t="shared" si="1"/>
        <v>4515413</v>
      </c>
      <c r="G12" s="39">
        <v>21500</v>
      </c>
    </row>
    <row r="13" spans="1:7" x14ac:dyDescent="0.2">
      <c r="A13" s="67">
        <v>37437</v>
      </c>
      <c r="B13" s="66">
        <v>4424202</v>
      </c>
      <c r="C13" s="66">
        <v>85807</v>
      </c>
      <c r="D13" s="28">
        <f t="shared" si="0"/>
        <v>4510009</v>
      </c>
      <c r="E13" s="43">
        <v>11198</v>
      </c>
      <c r="F13" s="29">
        <f t="shared" si="1"/>
        <v>4521207</v>
      </c>
      <c r="G13" s="43">
        <v>20609</v>
      </c>
    </row>
    <row r="14" spans="1:7" x14ac:dyDescent="0.2">
      <c r="A14" s="91">
        <v>37529</v>
      </c>
      <c r="B14" s="66">
        <v>4439182</v>
      </c>
      <c r="C14" s="66">
        <v>78825</v>
      </c>
      <c r="D14" s="28">
        <f t="shared" si="0"/>
        <v>4518007</v>
      </c>
      <c r="E14" s="43">
        <v>13733</v>
      </c>
      <c r="F14" s="29">
        <f t="shared" si="1"/>
        <v>4531740</v>
      </c>
      <c r="G14" s="43">
        <v>20076</v>
      </c>
    </row>
    <row r="15" spans="1:7" s="16" customFormat="1" x14ac:dyDescent="0.2">
      <c r="A15" s="91">
        <v>37621</v>
      </c>
      <c r="B15" s="66">
        <v>4451531</v>
      </c>
      <c r="C15" s="66">
        <v>79563</v>
      </c>
      <c r="D15" s="28">
        <f t="shared" si="0"/>
        <v>4531094</v>
      </c>
      <c r="E15" s="43">
        <v>11838</v>
      </c>
      <c r="F15" s="29">
        <f t="shared" si="1"/>
        <v>4542932</v>
      </c>
      <c r="G15" s="43">
        <v>20372</v>
      </c>
    </row>
    <row r="16" spans="1:7" s="16" customFormat="1" x14ac:dyDescent="0.2">
      <c r="A16" s="91">
        <v>37711</v>
      </c>
      <c r="B16" s="66">
        <v>4464780</v>
      </c>
      <c r="C16" s="66">
        <v>73949</v>
      </c>
      <c r="D16" s="28">
        <f t="shared" si="0"/>
        <v>4538729</v>
      </c>
      <c r="E16" s="43">
        <v>8114</v>
      </c>
      <c r="F16" s="29">
        <f t="shared" si="1"/>
        <v>4546843</v>
      </c>
      <c r="G16" s="43">
        <v>20212</v>
      </c>
    </row>
    <row r="17" spans="1:7" x14ac:dyDescent="0.2">
      <c r="A17" s="91">
        <v>37802</v>
      </c>
      <c r="B17" s="66">
        <v>4463992</v>
      </c>
      <c r="C17" s="66">
        <v>78100</v>
      </c>
      <c r="D17" s="28">
        <f t="shared" si="0"/>
        <v>4542092</v>
      </c>
      <c r="E17" s="43">
        <v>13046</v>
      </c>
      <c r="F17" s="29">
        <f t="shared" si="1"/>
        <v>4555138</v>
      </c>
      <c r="G17" s="43">
        <v>20345</v>
      </c>
    </row>
    <row r="18" spans="1:7" x14ac:dyDescent="0.2">
      <c r="A18" s="91">
        <v>37894</v>
      </c>
      <c r="B18" s="66">
        <v>4474195</v>
      </c>
      <c r="C18" s="66">
        <v>80666</v>
      </c>
      <c r="D18" s="28">
        <f t="shared" ref="D18:D23" si="2">B18+C18</f>
        <v>4554861</v>
      </c>
      <c r="E18" s="43">
        <v>9621</v>
      </c>
      <c r="F18" s="29">
        <f t="shared" ref="F18:F23" si="3">D18+E18</f>
        <v>4564482</v>
      </c>
      <c r="G18" s="43">
        <v>20343</v>
      </c>
    </row>
    <row r="19" spans="1:7" x14ac:dyDescent="0.2">
      <c r="A19" s="91">
        <v>37986</v>
      </c>
      <c r="B19" s="66">
        <v>4496102</v>
      </c>
      <c r="C19" s="66">
        <v>67649</v>
      </c>
      <c r="D19" s="28">
        <f t="shared" si="2"/>
        <v>4563751</v>
      </c>
      <c r="E19" s="43">
        <v>10512</v>
      </c>
      <c r="F19" s="29">
        <f t="shared" si="3"/>
        <v>4574263</v>
      </c>
      <c r="G19" s="43">
        <v>20686</v>
      </c>
    </row>
    <row r="20" spans="1:7" x14ac:dyDescent="0.2">
      <c r="A20" s="91">
        <v>38077</v>
      </c>
      <c r="B20" s="66">
        <v>4507688</v>
      </c>
      <c r="C20" s="66">
        <v>62197</v>
      </c>
      <c r="D20" s="28">
        <f t="shared" si="2"/>
        <v>4569885</v>
      </c>
      <c r="E20" s="43">
        <v>8091</v>
      </c>
      <c r="F20" s="29">
        <f t="shared" si="3"/>
        <v>4577976</v>
      </c>
      <c r="G20" s="43">
        <v>20881</v>
      </c>
    </row>
    <row r="21" spans="1:7" x14ac:dyDescent="0.2">
      <c r="A21" s="91">
        <v>38168</v>
      </c>
      <c r="B21" s="66">
        <v>4511322</v>
      </c>
      <c r="C21" s="66">
        <v>65547</v>
      </c>
      <c r="D21" s="28">
        <f t="shared" si="2"/>
        <v>4576869</v>
      </c>
      <c r="E21" s="43">
        <v>8165</v>
      </c>
      <c r="F21" s="29">
        <f t="shared" si="3"/>
        <v>4585034</v>
      </c>
      <c r="G21" s="43">
        <v>21184</v>
      </c>
    </row>
    <row r="22" spans="1:7" x14ac:dyDescent="0.2">
      <c r="A22" s="91">
        <v>38260</v>
      </c>
      <c r="B22" s="66">
        <v>4516179</v>
      </c>
      <c r="C22" s="66">
        <v>69628</v>
      </c>
      <c r="D22" s="28">
        <f t="shared" si="2"/>
        <v>4585807</v>
      </c>
      <c r="E22" s="43">
        <v>8551</v>
      </c>
      <c r="F22" s="29">
        <f t="shared" si="3"/>
        <v>4594358</v>
      </c>
      <c r="G22" s="43">
        <v>21650</v>
      </c>
    </row>
    <row r="23" spans="1:7" x14ac:dyDescent="0.2">
      <c r="A23" s="91">
        <v>38352</v>
      </c>
      <c r="B23" s="66">
        <v>4528778</v>
      </c>
      <c r="C23" s="66">
        <v>65432</v>
      </c>
      <c r="D23" s="28">
        <f t="shared" si="2"/>
        <v>4594210</v>
      </c>
      <c r="E23" s="43">
        <v>9525</v>
      </c>
      <c r="F23" s="29">
        <f t="shared" si="3"/>
        <v>4603735</v>
      </c>
      <c r="G23" s="43">
        <v>21700</v>
      </c>
    </row>
    <row r="24" spans="1:7" x14ac:dyDescent="0.2">
      <c r="A24" s="91">
        <v>38442</v>
      </c>
      <c r="B24" s="66">
        <v>4540405</v>
      </c>
      <c r="C24" s="66">
        <v>62356</v>
      </c>
      <c r="D24" s="28">
        <f t="shared" ref="D24:D29" si="4">B24+C24</f>
        <v>4602761</v>
      </c>
      <c r="E24" s="43">
        <v>6908</v>
      </c>
      <c r="F24" s="29">
        <f t="shared" ref="F24:F29" si="5">D24+E24</f>
        <v>4609669</v>
      </c>
      <c r="G24" s="43">
        <v>21546</v>
      </c>
    </row>
    <row r="25" spans="1:7" x14ac:dyDescent="0.2">
      <c r="A25" s="91">
        <v>38533</v>
      </c>
      <c r="B25" s="66">
        <v>4547637</v>
      </c>
      <c r="C25" s="66">
        <v>62136</v>
      </c>
      <c r="D25" s="28">
        <f t="shared" si="4"/>
        <v>4609773</v>
      </c>
      <c r="E25" s="43">
        <v>6908</v>
      </c>
      <c r="F25" s="29">
        <f t="shared" si="5"/>
        <v>4616681</v>
      </c>
      <c r="G25" s="43">
        <v>21505</v>
      </c>
    </row>
    <row r="26" spans="1:7" x14ac:dyDescent="0.2">
      <c r="A26" s="91">
        <v>38625</v>
      </c>
      <c r="B26" s="66">
        <v>4548537</v>
      </c>
      <c r="C26" s="66">
        <v>70653</v>
      </c>
      <c r="D26" s="28">
        <f t="shared" si="4"/>
        <v>4619190</v>
      </c>
      <c r="E26" s="43">
        <v>8532</v>
      </c>
      <c r="F26" s="29">
        <f t="shared" si="5"/>
        <v>4627722</v>
      </c>
      <c r="G26" s="43">
        <v>21496</v>
      </c>
    </row>
    <row r="27" spans="1:7" x14ac:dyDescent="0.2">
      <c r="A27" s="91">
        <v>38717</v>
      </c>
      <c r="B27" s="66">
        <v>4552407</v>
      </c>
      <c r="C27" s="66">
        <v>74530</v>
      </c>
      <c r="D27" s="28">
        <f t="shared" si="4"/>
        <v>4626937</v>
      </c>
      <c r="E27" s="43">
        <v>8790</v>
      </c>
      <c r="F27" s="29">
        <f t="shared" si="5"/>
        <v>4635727</v>
      </c>
      <c r="G27" s="43">
        <v>21720</v>
      </c>
    </row>
    <row r="28" spans="1:7" x14ac:dyDescent="0.2">
      <c r="A28" s="91">
        <v>38807</v>
      </c>
      <c r="B28" s="66">
        <v>4575086</v>
      </c>
      <c r="C28" s="66">
        <v>60188</v>
      </c>
      <c r="D28" s="28">
        <f t="shared" si="4"/>
        <v>4635274</v>
      </c>
      <c r="E28" s="43">
        <v>9139</v>
      </c>
      <c r="F28" s="29">
        <f t="shared" si="5"/>
        <v>4644413</v>
      </c>
      <c r="G28" s="43">
        <v>21552</v>
      </c>
    </row>
    <row r="29" spans="1:7" x14ac:dyDescent="0.2">
      <c r="A29" s="91">
        <v>38898</v>
      </c>
      <c r="B29" s="66">
        <v>4587897</v>
      </c>
      <c r="C29" s="66">
        <v>57895</v>
      </c>
      <c r="D29" s="28">
        <f t="shared" si="4"/>
        <v>4645792</v>
      </c>
      <c r="E29" s="43">
        <v>9172</v>
      </c>
      <c r="F29" s="29">
        <f t="shared" si="5"/>
        <v>4654964</v>
      </c>
      <c r="G29" s="43">
        <v>21366</v>
      </c>
    </row>
    <row r="30" spans="1:7" x14ac:dyDescent="0.2">
      <c r="A30" s="91">
        <v>38990</v>
      </c>
      <c r="B30" s="66">
        <v>4601457</v>
      </c>
      <c r="C30" s="66">
        <v>52822</v>
      </c>
      <c r="D30" s="28">
        <f t="shared" ref="D30:D35" si="6">B30+C30</f>
        <v>4654279</v>
      </c>
      <c r="E30" s="43">
        <v>11555</v>
      </c>
      <c r="F30" s="29">
        <f t="shared" ref="F30:F35" si="7">D30+E30</f>
        <v>4665834</v>
      </c>
      <c r="G30" s="43">
        <v>21373</v>
      </c>
    </row>
    <row r="31" spans="1:7" x14ac:dyDescent="0.2">
      <c r="A31" s="91">
        <v>39082</v>
      </c>
      <c r="B31" s="66">
        <v>4616449</v>
      </c>
      <c r="C31" s="66">
        <v>50493</v>
      </c>
      <c r="D31" s="28">
        <f t="shared" si="6"/>
        <v>4666942</v>
      </c>
      <c r="E31" s="43">
        <v>12096</v>
      </c>
      <c r="F31" s="29">
        <f t="shared" si="7"/>
        <v>4679038</v>
      </c>
      <c r="G31" s="43">
        <v>21483</v>
      </c>
    </row>
    <row r="32" spans="1:7" x14ac:dyDescent="0.2">
      <c r="A32" s="91">
        <v>39172</v>
      </c>
      <c r="B32" s="66">
        <v>4623196</v>
      </c>
      <c r="C32" s="66">
        <v>54990</v>
      </c>
      <c r="D32" s="28">
        <f t="shared" si="6"/>
        <v>4678186</v>
      </c>
      <c r="E32" s="43">
        <v>10230</v>
      </c>
      <c r="F32" s="29">
        <f t="shared" si="7"/>
        <v>4688416</v>
      </c>
      <c r="G32" s="43">
        <v>21527</v>
      </c>
    </row>
    <row r="33" spans="1:8" x14ac:dyDescent="0.2">
      <c r="A33" s="91">
        <v>39263</v>
      </c>
      <c r="B33" s="66">
        <v>4640625</v>
      </c>
      <c r="C33" s="66">
        <v>49902</v>
      </c>
      <c r="D33" s="28">
        <f t="shared" si="6"/>
        <v>4690527</v>
      </c>
      <c r="E33" s="43">
        <v>10520</v>
      </c>
      <c r="F33" s="29">
        <f t="shared" si="7"/>
        <v>4701047</v>
      </c>
      <c r="G33" s="43">
        <v>21525</v>
      </c>
    </row>
    <row r="34" spans="1:8" x14ac:dyDescent="0.2">
      <c r="A34" s="91">
        <v>39355</v>
      </c>
      <c r="B34" s="66">
        <v>4647896</v>
      </c>
      <c r="C34" s="66">
        <v>55897</v>
      </c>
      <c r="D34" s="28">
        <f t="shared" si="6"/>
        <v>4703793</v>
      </c>
      <c r="E34" s="43">
        <v>12973</v>
      </c>
      <c r="F34" s="29">
        <f t="shared" si="7"/>
        <v>4716766</v>
      </c>
      <c r="G34" s="43">
        <v>21589</v>
      </c>
    </row>
    <row r="35" spans="1:8" x14ac:dyDescent="0.2">
      <c r="A35" s="91">
        <v>39447</v>
      </c>
      <c r="B35" s="66">
        <v>4664841</v>
      </c>
      <c r="C35" s="66">
        <v>54087</v>
      </c>
      <c r="D35" s="28">
        <f t="shared" si="6"/>
        <v>4718928</v>
      </c>
      <c r="E35" s="43">
        <v>17533</v>
      </c>
      <c r="F35" s="29">
        <f t="shared" si="7"/>
        <v>4736461</v>
      </c>
      <c r="G35" s="43">
        <v>21438</v>
      </c>
    </row>
    <row r="36" spans="1:8" x14ac:dyDescent="0.2">
      <c r="A36" s="91">
        <v>39538</v>
      </c>
      <c r="B36" s="66">
        <v>4689405</v>
      </c>
      <c r="C36" s="66">
        <v>47709</v>
      </c>
      <c r="D36" s="28">
        <f t="shared" ref="D36:D48" si="8">B36+C36</f>
        <v>4737114</v>
      </c>
      <c r="E36" s="43">
        <v>13725</v>
      </c>
      <c r="F36" s="29">
        <f t="shared" ref="F36:F48" si="9">D36+E36</f>
        <v>4750839</v>
      </c>
      <c r="G36" s="43">
        <v>21270</v>
      </c>
      <c r="H36" s="25"/>
    </row>
    <row r="37" spans="1:8" x14ac:dyDescent="0.2">
      <c r="A37" s="91">
        <v>39629</v>
      </c>
      <c r="B37" s="66">
        <v>4710188</v>
      </c>
      <c r="C37" s="66">
        <v>43832</v>
      </c>
      <c r="D37" s="28">
        <f t="shared" si="8"/>
        <v>4754020</v>
      </c>
      <c r="E37" s="43">
        <v>13127</v>
      </c>
      <c r="F37" s="29">
        <f t="shared" si="9"/>
        <v>4767147</v>
      </c>
      <c r="G37" s="43">
        <v>21053</v>
      </c>
    </row>
    <row r="38" spans="1:8" x14ac:dyDescent="0.2">
      <c r="A38" s="91">
        <v>39721</v>
      </c>
      <c r="B38" s="66">
        <v>4727276</v>
      </c>
      <c r="C38" s="66">
        <v>41116</v>
      </c>
      <c r="D38" s="28">
        <f t="shared" si="8"/>
        <v>4768392</v>
      </c>
      <c r="E38" s="43">
        <v>14220</v>
      </c>
      <c r="F38" s="29">
        <f t="shared" si="9"/>
        <v>4782612</v>
      </c>
      <c r="G38" s="43">
        <v>20808</v>
      </c>
    </row>
    <row r="39" spans="1:8" x14ac:dyDescent="0.2">
      <c r="A39" s="91">
        <v>39813</v>
      </c>
      <c r="B39" s="66">
        <v>4738065</v>
      </c>
      <c r="C39" s="66">
        <v>48493</v>
      </c>
      <c r="D39" s="28">
        <f t="shared" si="8"/>
        <v>4786558</v>
      </c>
      <c r="E39" s="43">
        <v>15452</v>
      </c>
      <c r="F39" s="29">
        <f t="shared" si="9"/>
        <v>4802010</v>
      </c>
      <c r="G39" s="43">
        <v>20478</v>
      </c>
    </row>
    <row r="40" spans="1:8" x14ac:dyDescent="0.2">
      <c r="A40" s="91">
        <v>39903</v>
      </c>
      <c r="B40" s="66">
        <v>4757172</v>
      </c>
      <c r="C40" s="66">
        <v>45106</v>
      </c>
      <c r="D40" s="28">
        <f t="shared" si="8"/>
        <v>4802278</v>
      </c>
      <c r="E40" s="43">
        <v>13879</v>
      </c>
      <c r="F40" s="29">
        <f t="shared" si="9"/>
        <v>4816157</v>
      </c>
      <c r="G40" s="43">
        <v>20136</v>
      </c>
    </row>
    <row r="41" spans="1:8" x14ac:dyDescent="0.2">
      <c r="A41" s="91">
        <v>39994</v>
      </c>
      <c r="B41" s="66">
        <v>4778147</v>
      </c>
      <c r="C41" s="66">
        <v>40253</v>
      </c>
      <c r="D41" s="28">
        <f t="shared" si="8"/>
        <v>4818400</v>
      </c>
      <c r="E41" s="43">
        <v>11694</v>
      </c>
      <c r="F41" s="29">
        <f t="shared" si="9"/>
        <v>4830094</v>
      </c>
      <c r="G41" s="43">
        <v>20156</v>
      </c>
    </row>
    <row r="42" spans="1:8" x14ac:dyDescent="0.2">
      <c r="A42" s="91">
        <v>40086</v>
      </c>
      <c r="B42" s="66">
        <v>4787223</v>
      </c>
      <c r="C42" s="66">
        <v>44638</v>
      </c>
      <c r="D42" s="28">
        <f t="shared" si="8"/>
        <v>4831861</v>
      </c>
      <c r="E42" s="43">
        <v>12897</v>
      </c>
      <c r="F42" s="29">
        <f t="shared" si="9"/>
        <v>4844758</v>
      </c>
      <c r="G42" s="43">
        <v>20221</v>
      </c>
    </row>
    <row r="43" spans="1:8" x14ac:dyDescent="0.2">
      <c r="A43" s="91">
        <v>40178</v>
      </c>
      <c r="B43" s="66">
        <v>4803703</v>
      </c>
      <c r="C43" s="66">
        <v>46391</v>
      </c>
      <c r="D43" s="28">
        <f t="shared" si="8"/>
        <v>4850094</v>
      </c>
      <c r="E43" s="43">
        <v>17422</v>
      </c>
      <c r="F43" s="29">
        <f t="shared" si="9"/>
        <v>4867516</v>
      </c>
      <c r="G43" s="43">
        <v>20078</v>
      </c>
    </row>
    <row r="44" spans="1:8" x14ac:dyDescent="0.2">
      <c r="A44" s="91">
        <v>40268</v>
      </c>
      <c r="B44" s="66">
        <v>4822256</v>
      </c>
      <c r="C44" s="66">
        <v>46397</v>
      </c>
      <c r="D44" s="28">
        <f t="shared" si="8"/>
        <v>4868653</v>
      </c>
      <c r="E44" s="43">
        <v>17379</v>
      </c>
      <c r="F44" s="29">
        <f t="shared" si="9"/>
        <v>4886032</v>
      </c>
      <c r="G44" s="43">
        <v>20168</v>
      </c>
    </row>
    <row r="45" spans="1:8" x14ac:dyDescent="0.2">
      <c r="A45" s="91">
        <v>40359</v>
      </c>
      <c r="B45" s="66">
        <v>4843230</v>
      </c>
      <c r="C45" s="66">
        <v>41780</v>
      </c>
      <c r="D45" s="28">
        <f t="shared" si="8"/>
        <v>4885010</v>
      </c>
      <c r="E45" s="43">
        <v>13811</v>
      </c>
      <c r="F45" s="29">
        <f t="shared" si="9"/>
        <v>4898821</v>
      </c>
      <c r="G45" s="43">
        <v>20425</v>
      </c>
    </row>
    <row r="46" spans="1:8" x14ac:dyDescent="0.2">
      <c r="A46" s="91">
        <v>40451</v>
      </c>
      <c r="B46" s="66">
        <v>4851455</v>
      </c>
      <c r="C46" s="66">
        <v>47191</v>
      </c>
      <c r="D46" s="28">
        <f t="shared" si="8"/>
        <v>4898646</v>
      </c>
      <c r="E46" s="43">
        <v>17062</v>
      </c>
      <c r="F46" s="29">
        <f t="shared" si="9"/>
        <v>4915708</v>
      </c>
      <c r="G46" s="43">
        <v>20705</v>
      </c>
    </row>
    <row r="47" spans="1:8" x14ac:dyDescent="0.2">
      <c r="A47" s="91">
        <v>40543</v>
      </c>
      <c r="B47" s="66">
        <v>4864448</v>
      </c>
      <c r="C47" s="66">
        <v>50924</v>
      </c>
      <c r="D47" s="28">
        <f t="shared" si="8"/>
        <v>4915372</v>
      </c>
      <c r="E47" s="43">
        <v>20100</v>
      </c>
      <c r="F47" s="29">
        <f t="shared" si="9"/>
        <v>4935472</v>
      </c>
      <c r="G47" s="43">
        <v>21027</v>
      </c>
    </row>
    <row r="48" spans="1:8" x14ac:dyDescent="0.2">
      <c r="A48" s="91">
        <v>40633</v>
      </c>
      <c r="B48" s="66">
        <v>4886723</v>
      </c>
      <c r="C48" s="66">
        <v>47998</v>
      </c>
      <c r="D48" s="28">
        <f t="shared" si="8"/>
        <v>4934721</v>
      </c>
      <c r="E48" s="43">
        <v>14978</v>
      </c>
      <c r="F48" s="29">
        <f t="shared" si="9"/>
        <v>4949699</v>
      </c>
      <c r="G48" s="43">
        <v>20917</v>
      </c>
    </row>
    <row r="49" spans="1:7" x14ac:dyDescent="0.2">
      <c r="A49" s="91">
        <v>40724</v>
      </c>
      <c r="B49" s="66">
        <v>4906893</v>
      </c>
      <c r="C49" s="66">
        <v>39782</v>
      </c>
      <c r="D49" s="28">
        <f t="shared" ref="D49:D55" si="10">B49+C49</f>
        <v>4946675</v>
      </c>
      <c r="E49" s="43">
        <v>18820</v>
      </c>
      <c r="F49" s="29">
        <f t="shared" ref="F49:F55" si="11">D49+E49</f>
        <v>4965495</v>
      </c>
      <c r="G49" s="43">
        <v>21227</v>
      </c>
    </row>
    <row r="50" spans="1:7" x14ac:dyDescent="0.2">
      <c r="A50" s="91">
        <v>40816</v>
      </c>
      <c r="B50" s="66">
        <v>4922894</v>
      </c>
      <c r="C50" s="66">
        <v>40578</v>
      </c>
      <c r="D50" s="28">
        <f t="shared" si="10"/>
        <v>4963472</v>
      </c>
      <c r="E50" s="43">
        <v>18951</v>
      </c>
      <c r="F50" s="29">
        <f t="shared" si="11"/>
        <v>4982423</v>
      </c>
      <c r="G50" s="43">
        <v>21438</v>
      </c>
    </row>
    <row r="51" spans="1:7" x14ac:dyDescent="0.2">
      <c r="A51" s="91">
        <v>40908</v>
      </c>
      <c r="B51" s="66">
        <v>4938738</v>
      </c>
      <c r="C51" s="66">
        <v>41834</v>
      </c>
      <c r="D51" s="28">
        <f t="shared" si="10"/>
        <v>4980572</v>
      </c>
      <c r="E51" s="43">
        <v>22022</v>
      </c>
      <c r="F51" s="29">
        <f t="shared" si="11"/>
        <v>5002594</v>
      </c>
      <c r="G51" s="43">
        <v>21595</v>
      </c>
    </row>
    <row r="52" spans="1:7" x14ac:dyDescent="0.2">
      <c r="A52" s="91">
        <v>40999</v>
      </c>
      <c r="B52" s="66">
        <v>4960314</v>
      </c>
      <c r="C52" s="66">
        <v>37133</v>
      </c>
      <c r="D52" s="28">
        <f t="shared" si="10"/>
        <v>4997447</v>
      </c>
      <c r="E52" s="43">
        <v>18527</v>
      </c>
      <c r="F52" s="29">
        <f t="shared" si="11"/>
        <v>5015974</v>
      </c>
      <c r="G52" s="43">
        <v>21690</v>
      </c>
    </row>
    <row r="53" spans="1:7" x14ac:dyDescent="0.2">
      <c r="A53" s="91">
        <v>41090</v>
      </c>
      <c r="B53" s="66">
        <v>4981898</v>
      </c>
      <c r="C53" s="66">
        <v>31621</v>
      </c>
      <c r="D53" s="28">
        <f t="shared" si="10"/>
        <v>5013519</v>
      </c>
      <c r="E53" s="43">
        <v>18895</v>
      </c>
      <c r="F53" s="29">
        <f t="shared" si="11"/>
        <v>5032414</v>
      </c>
      <c r="G53" s="43">
        <v>22022</v>
      </c>
    </row>
    <row r="54" spans="1:7" x14ac:dyDescent="0.2">
      <c r="A54" s="91">
        <v>41182</v>
      </c>
      <c r="B54" s="66">
        <v>4995650</v>
      </c>
      <c r="C54" s="66">
        <v>35968</v>
      </c>
      <c r="D54" s="28">
        <f t="shared" si="10"/>
        <v>5031618</v>
      </c>
      <c r="E54" s="43">
        <v>19026</v>
      </c>
      <c r="F54" s="29">
        <f t="shared" si="11"/>
        <v>5050644</v>
      </c>
      <c r="G54" s="43">
        <v>22190</v>
      </c>
    </row>
    <row r="55" spans="1:7" x14ac:dyDescent="0.2">
      <c r="A55" s="91">
        <v>41274</v>
      </c>
      <c r="B55" s="66">
        <v>5004871</v>
      </c>
      <c r="C55" s="66">
        <v>42811</v>
      </c>
      <c r="D55" s="28">
        <f t="shared" si="10"/>
        <v>5047682</v>
      </c>
      <c r="E55" s="43">
        <v>22096</v>
      </c>
      <c r="F55" s="29">
        <f t="shared" si="11"/>
        <v>5069778</v>
      </c>
      <c r="G55" s="43">
        <v>22424</v>
      </c>
    </row>
    <row r="56" spans="1:7" x14ac:dyDescent="0.2">
      <c r="A56" s="91">
        <v>41364</v>
      </c>
      <c r="B56" s="66">
        <v>5021492</v>
      </c>
      <c r="C56" s="66">
        <v>42432</v>
      </c>
      <c r="D56" s="28">
        <f t="shared" ref="D56:D61" si="12">B56+C56</f>
        <v>5063924</v>
      </c>
      <c r="E56" s="43">
        <v>17934</v>
      </c>
      <c r="F56" s="29">
        <f t="shared" ref="F56:F61" si="13">D56+E56</f>
        <v>5081858</v>
      </c>
      <c r="G56" s="43">
        <v>22357</v>
      </c>
    </row>
    <row r="57" spans="1:7" x14ac:dyDescent="0.2">
      <c r="A57" s="91">
        <v>41455</v>
      </c>
      <c r="B57" s="66">
        <v>5038688</v>
      </c>
      <c r="C57" s="66">
        <v>39277</v>
      </c>
      <c r="D57" s="28">
        <f t="shared" si="12"/>
        <v>5077965</v>
      </c>
      <c r="E57" s="43">
        <v>15927</v>
      </c>
      <c r="F57" s="29">
        <f t="shared" si="13"/>
        <v>5093892</v>
      </c>
      <c r="G57" s="43">
        <v>22576</v>
      </c>
    </row>
    <row r="58" spans="1:7" x14ac:dyDescent="0.2">
      <c r="A58" s="91">
        <v>41547</v>
      </c>
      <c r="B58" s="66">
        <v>5054797</v>
      </c>
      <c r="C58" s="66">
        <v>38223</v>
      </c>
      <c r="D58" s="28">
        <f t="shared" si="12"/>
        <v>5093020</v>
      </c>
      <c r="E58" s="43">
        <v>18909</v>
      </c>
      <c r="F58" s="29">
        <f t="shared" si="13"/>
        <v>5111929</v>
      </c>
      <c r="G58" s="43">
        <v>22586</v>
      </c>
    </row>
    <row r="59" spans="1:7" x14ac:dyDescent="0.2">
      <c r="A59" s="91">
        <v>41639</v>
      </c>
      <c r="B59" s="66">
        <v>5068597</v>
      </c>
      <c r="C59" s="66">
        <v>40577</v>
      </c>
      <c r="D59" s="28">
        <f t="shared" si="12"/>
        <v>5109174</v>
      </c>
      <c r="E59" s="43">
        <v>20334</v>
      </c>
      <c r="F59" s="29">
        <f t="shared" si="13"/>
        <v>5129508</v>
      </c>
      <c r="G59" s="43">
        <v>22680</v>
      </c>
    </row>
    <row r="60" spans="1:7" x14ac:dyDescent="0.2">
      <c r="A60" s="91">
        <v>41729</v>
      </c>
      <c r="B60" s="66">
        <v>5087351</v>
      </c>
      <c r="C60" s="66">
        <v>38298</v>
      </c>
      <c r="D60" s="28">
        <f t="shared" si="12"/>
        <v>5125649</v>
      </c>
      <c r="E60" s="43">
        <v>17521</v>
      </c>
      <c r="F60" s="29">
        <f t="shared" si="13"/>
        <v>5143170</v>
      </c>
      <c r="G60" s="43">
        <v>22668</v>
      </c>
    </row>
    <row r="61" spans="1:7" x14ac:dyDescent="0.2">
      <c r="A61" s="91">
        <v>41820</v>
      </c>
      <c r="B61" s="66">
        <v>5104083</v>
      </c>
      <c r="C61" s="66">
        <v>36606</v>
      </c>
      <c r="D61" s="28">
        <f t="shared" si="12"/>
        <v>5140689</v>
      </c>
      <c r="E61" s="43">
        <v>15010</v>
      </c>
      <c r="F61" s="29">
        <f t="shared" si="13"/>
        <v>5155699</v>
      </c>
      <c r="G61" s="43">
        <v>22856</v>
      </c>
    </row>
    <row r="62" spans="1:7" x14ac:dyDescent="0.2">
      <c r="A62" s="91">
        <v>41912</v>
      </c>
      <c r="B62" s="66">
        <v>5114896</v>
      </c>
      <c r="C62" s="66">
        <v>40088</v>
      </c>
      <c r="D62" s="28">
        <f t="shared" ref="D62:D67" si="14">B62+C62</f>
        <v>5154984</v>
      </c>
      <c r="E62" s="43">
        <v>16560</v>
      </c>
      <c r="F62" s="29">
        <f t="shared" ref="F62:F67" si="15">D62+E62</f>
        <v>5171544</v>
      </c>
      <c r="G62" s="43">
        <v>23031</v>
      </c>
    </row>
    <row r="63" spans="1:7" x14ac:dyDescent="0.2">
      <c r="A63" s="91">
        <v>42004</v>
      </c>
      <c r="B63" s="66">
        <v>5127819</v>
      </c>
      <c r="C63" s="66">
        <v>41315</v>
      </c>
      <c r="D63" s="28">
        <f t="shared" si="14"/>
        <v>5169134</v>
      </c>
      <c r="E63" s="43">
        <v>23298</v>
      </c>
      <c r="F63" s="29">
        <f t="shared" si="15"/>
        <v>5192432</v>
      </c>
      <c r="G63" s="43">
        <v>23105</v>
      </c>
    </row>
    <row r="64" spans="1:7" x14ac:dyDescent="0.2">
      <c r="A64" s="91">
        <v>42094</v>
      </c>
      <c r="B64" s="66">
        <v>5143308</v>
      </c>
      <c r="C64" s="66">
        <v>38993</v>
      </c>
      <c r="D64" s="28">
        <f t="shared" si="14"/>
        <v>5182301</v>
      </c>
      <c r="E64" s="43">
        <v>17335</v>
      </c>
      <c r="F64" s="29">
        <f t="shared" si="15"/>
        <v>5199636</v>
      </c>
      <c r="G64" s="43">
        <v>23225</v>
      </c>
    </row>
    <row r="65" spans="1:10" x14ac:dyDescent="0.2">
      <c r="A65" s="91">
        <v>42185</v>
      </c>
      <c r="B65" s="66">
        <v>5160821</v>
      </c>
      <c r="C65" s="66">
        <v>32971</v>
      </c>
      <c r="D65" s="28">
        <f t="shared" si="14"/>
        <v>5193792</v>
      </c>
      <c r="E65" s="43">
        <v>15504</v>
      </c>
      <c r="F65" s="29">
        <f t="shared" si="15"/>
        <v>5209296</v>
      </c>
      <c r="G65" s="43">
        <v>23263</v>
      </c>
    </row>
    <row r="66" spans="1:10" x14ac:dyDescent="0.2">
      <c r="A66" s="91">
        <v>42277</v>
      </c>
      <c r="B66" s="66">
        <v>5173877</v>
      </c>
      <c r="C66" s="66">
        <v>31610</v>
      </c>
      <c r="D66" s="28">
        <f t="shared" si="14"/>
        <v>5205487</v>
      </c>
      <c r="E66" s="43">
        <v>18328</v>
      </c>
      <c r="F66" s="29">
        <f t="shared" si="15"/>
        <v>5223815</v>
      </c>
      <c r="G66" s="43">
        <v>23326</v>
      </c>
    </row>
    <row r="67" spans="1:10" x14ac:dyDescent="0.2">
      <c r="A67" s="91">
        <v>42369</v>
      </c>
      <c r="B67" s="66">
        <v>5188787</v>
      </c>
      <c r="C67" s="66">
        <v>30985</v>
      </c>
      <c r="D67" s="28">
        <f t="shared" si="14"/>
        <v>5219772</v>
      </c>
      <c r="E67" s="43">
        <v>19737</v>
      </c>
      <c r="F67" s="29">
        <f t="shared" si="15"/>
        <v>5239509</v>
      </c>
      <c r="G67" s="43">
        <v>23526</v>
      </c>
    </row>
    <row r="68" spans="1:10" x14ac:dyDescent="0.2">
      <c r="A68" s="91">
        <v>42460</v>
      </c>
      <c r="B68" s="66">
        <v>5201995</v>
      </c>
      <c r="C68" s="66">
        <v>33993</v>
      </c>
      <c r="D68" s="28">
        <f t="shared" ref="D68:D73" si="16">B68+C68</f>
        <v>5235988</v>
      </c>
      <c r="E68" s="43">
        <v>15700</v>
      </c>
      <c r="F68" s="29">
        <f t="shared" ref="F68:F73" si="17">D68+E68</f>
        <v>5251688</v>
      </c>
      <c r="G68" s="43">
        <v>23409</v>
      </c>
    </row>
    <row r="69" spans="1:10" x14ac:dyDescent="0.2">
      <c r="A69" s="91">
        <v>42551</v>
      </c>
      <c r="B69" s="66">
        <v>5218667</v>
      </c>
      <c r="C69" s="66">
        <v>25699</v>
      </c>
      <c r="D69" s="28">
        <f t="shared" si="16"/>
        <v>5244366</v>
      </c>
      <c r="E69" s="215">
        <v>107421</v>
      </c>
      <c r="F69" s="215">
        <f t="shared" si="17"/>
        <v>5351787</v>
      </c>
      <c r="G69" s="43">
        <v>23279</v>
      </c>
      <c r="I69" s="215"/>
      <c r="J69" t="s">
        <v>331</v>
      </c>
    </row>
    <row r="70" spans="1:10" x14ac:dyDescent="0.2">
      <c r="A70" s="91">
        <v>42643</v>
      </c>
      <c r="B70" s="66">
        <v>5220983</v>
      </c>
      <c r="C70" s="66">
        <v>38562</v>
      </c>
      <c r="D70" s="28">
        <f t="shared" si="16"/>
        <v>5259545</v>
      </c>
      <c r="E70" s="215">
        <v>87568</v>
      </c>
      <c r="F70" s="215">
        <f t="shared" si="17"/>
        <v>5347113</v>
      </c>
      <c r="G70" s="43">
        <v>23207</v>
      </c>
    </row>
    <row r="71" spans="1:10" x14ac:dyDescent="0.2">
      <c r="A71" s="91">
        <v>42735</v>
      </c>
      <c r="B71" s="66">
        <v>5225835</v>
      </c>
      <c r="C71" s="66">
        <v>45115</v>
      </c>
      <c r="D71" s="28">
        <f t="shared" si="16"/>
        <v>5270950</v>
      </c>
      <c r="E71" s="215">
        <v>67621</v>
      </c>
      <c r="F71" s="215">
        <f t="shared" si="17"/>
        <v>5338571</v>
      </c>
      <c r="G71" s="43">
        <v>23153</v>
      </c>
    </row>
    <row r="72" spans="1:10" x14ac:dyDescent="0.2">
      <c r="A72" s="91">
        <v>42825</v>
      </c>
      <c r="B72" s="66">
        <v>5227936</v>
      </c>
      <c r="C72" s="66">
        <v>46350</v>
      </c>
      <c r="D72" s="28">
        <f t="shared" si="16"/>
        <v>5274286</v>
      </c>
      <c r="E72" s="215">
        <v>1031720</v>
      </c>
      <c r="F72" s="215">
        <f t="shared" si="17"/>
        <v>6306006</v>
      </c>
      <c r="G72" s="43">
        <v>23646</v>
      </c>
    </row>
    <row r="73" spans="1:10" x14ac:dyDescent="0.2">
      <c r="A73" s="91">
        <v>42916</v>
      </c>
      <c r="B73" s="66">
        <v>5241810</v>
      </c>
      <c r="C73" s="66">
        <v>45272</v>
      </c>
      <c r="D73" s="28">
        <f t="shared" si="16"/>
        <v>5287082</v>
      </c>
      <c r="E73" s="215">
        <v>1060528</v>
      </c>
      <c r="F73" s="215">
        <f t="shared" si="17"/>
        <v>6347610</v>
      </c>
      <c r="G73" s="43">
        <v>37633</v>
      </c>
    </row>
    <row r="74" spans="1:10" x14ac:dyDescent="0.2">
      <c r="A74" s="91">
        <v>43100</v>
      </c>
      <c r="B74" s="66">
        <v>5260068</v>
      </c>
      <c r="C74" s="66">
        <v>36189</v>
      </c>
      <c r="D74" s="28">
        <f t="shared" ref="D74:D79" si="18">B74+C74</f>
        <v>5296257</v>
      </c>
      <c r="E74" s="43">
        <v>0</v>
      </c>
      <c r="F74" s="29">
        <f t="shared" ref="F74:F79" si="19">D74+E74</f>
        <v>5296257</v>
      </c>
      <c r="G74" s="43">
        <v>37325</v>
      </c>
      <c r="H74" t="s">
        <v>333</v>
      </c>
    </row>
    <row r="75" spans="1:10" x14ac:dyDescent="0.2">
      <c r="A75" s="91">
        <v>43190</v>
      </c>
      <c r="B75" s="66">
        <v>5258009</v>
      </c>
      <c r="C75" s="66">
        <v>45342</v>
      </c>
      <c r="D75" s="28">
        <f t="shared" si="18"/>
        <v>5303351</v>
      </c>
      <c r="E75" s="43">
        <v>0</v>
      </c>
      <c r="F75" s="29">
        <f t="shared" si="19"/>
        <v>5303351</v>
      </c>
      <c r="G75" s="43">
        <v>12864</v>
      </c>
      <c r="H75" t="s">
        <v>333</v>
      </c>
    </row>
    <row r="76" spans="1:10" x14ac:dyDescent="0.2">
      <c r="A76" s="91">
        <v>43281</v>
      </c>
      <c r="B76" s="66">
        <v>5254652</v>
      </c>
      <c r="C76" s="66">
        <v>56854</v>
      </c>
      <c r="D76" s="28">
        <f t="shared" si="18"/>
        <v>5311506</v>
      </c>
      <c r="E76" s="43">
        <v>0</v>
      </c>
      <c r="F76" s="29">
        <f t="shared" si="19"/>
        <v>5311506</v>
      </c>
      <c r="G76" s="43">
        <v>12762</v>
      </c>
      <c r="H76" t="s">
        <v>333</v>
      </c>
    </row>
    <row r="77" spans="1:10" x14ac:dyDescent="0.2">
      <c r="A77" s="91">
        <v>43373</v>
      </c>
      <c r="B77" s="66">
        <v>5265392</v>
      </c>
      <c r="C77" s="66">
        <v>56542</v>
      </c>
      <c r="D77" s="28">
        <f t="shared" si="18"/>
        <v>5321934</v>
      </c>
      <c r="E77" s="43">
        <v>0</v>
      </c>
      <c r="F77" s="29">
        <f t="shared" si="19"/>
        <v>5321934</v>
      </c>
      <c r="G77" s="43">
        <v>12660</v>
      </c>
      <c r="H77" t="s">
        <v>334</v>
      </c>
    </row>
    <row r="78" spans="1:10" x14ac:dyDescent="0.2">
      <c r="A78" s="91">
        <v>43465</v>
      </c>
      <c r="B78" s="66">
        <v>5279617</v>
      </c>
      <c r="C78" s="66">
        <v>54051</v>
      </c>
      <c r="D78" s="28">
        <f t="shared" si="18"/>
        <v>5333668</v>
      </c>
      <c r="E78" s="43">
        <v>1</v>
      </c>
      <c r="F78" s="29">
        <f t="shared" si="19"/>
        <v>5333669</v>
      </c>
      <c r="G78" s="43">
        <v>12520</v>
      </c>
    </row>
    <row r="79" spans="1:10" x14ac:dyDescent="0.2">
      <c r="A79" s="91">
        <v>43555</v>
      </c>
      <c r="B79" s="66">
        <v>5279132</v>
      </c>
      <c r="C79" s="66">
        <v>57301</v>
      </c>
      <c r="D79" s="28">
        <f t="shared" si="18"/>
        <v>5336433</v>
      </c>
      <c r="E79" s="43">
        <v>2</v>
      </c>
      <c r="F79" s="29">
        <f t="shared" si="19"/>
        <v>5336435</v>
      </c>
      <c r="G79" s="43">
        <v>12399</v>
      </c>
    </row>
    <row r="80" spans="1:10" x14ac:dyDescent="0.2">
      <c r="A80" s="91">
        <v>43646</v>
      </c>
      <c r="B80" s="66">
        <v>5284317</v>
      </c>
      <c r="C80" s="66">
        <v>60938</v>
      </c>
      <c r="D80" s="28">
        <f t="shared" ref="D80" si="20">B80+C80</f>
        <v>5345255</v>
      </c>
      <c r="E80" s="43">
        <v>3</v>
      </c>
      <c r="F80" s="29">
        <f t="shared" ref="F80" si="21">D80+E80</f>
        <v>5345258</v>
      </c>
      <c r="G80" s="43">
        <v>12331</v>
      </c>
    </row>
    <row r="81" spans="1:7" x14ac:dyDescent="0.2">
      <c r="A81" s="91">
        <v>43738</v>
      </c>
      <c r="B81" s="66">
        <v>5276168</v>
      </c>
      <c r="C81" s="66">
        <v>78574</v>
      </c>
      <c r="D81" s="28">
        <f t="shared" ref="D81" si="22">B81+C81</f>
        <v>5354742</v>
      </c>
      <c r="E81" s="43">
        <v>4</v>
      </c>
      <c r="F81" s="29">
        <f t="shared" ref="F81" si="23">D81+E81</f>
        <v>5354746</v>
      </c>
      <c r="G81" s="43">
        <v>12144</v>
      </c>
    </row>
    <row r="82" spans="1:7" x14ac:dyDescent="0.2">
      <c r="A82" s="91">
        <v>43830</v>
      </c>
      <c r="B82" s="66">
        <v>5292140</v>
      </c>
      <c r="C82" s="66">
        <v>75495</v>
      </c>
      <c r="D82" s="28">
        <f t="shared" ref="D82" si="24">B82+C82</f>
        <v>5367635</v>
      </c>
      <c r="E82" s="43">
        <v>5</v>
      </c>
      <c r="F82" s="29">
        <f t="shared" ref="F82" si="25">D82+E82</f>
        <v>5367640</v>
      </c>
      <c r="G82" s="43">
        <v>12043</v>
      </c>
    </row>
    <row r="83" spans="1:7" x14ac:dyDescent="0.2">
      <c r="A83" s="91">
        <v>43921</v>
      </c>
      <c r="B83" s="66">
        <v>5298855</v>
      </c>
      <c r="C83" s="66">
        <v>78464</v>
      </c>
      <c r="D83" s="28">
        <f t="shared" ref="D83" si="26">B83+C83</f>
        <v>5377319</v>
      </c>
      <c r="E83" s="43">
        <v>6</v>
      </c>
      <c r="F83" s="29">
        <f t="shared" ref="F83" si="27">D83+E83</f>
        <v>5377325</v>
      </c>
      <c r="G83" s="43">
        <v>11888</v>
      </c>
    </row>
    <row r="84" spans="1:7" x14ac:dyDescent="0.2">
      <c r="A84" s="91">
        <v>44104</v>
      </c>
      <c r="B84" s="66">
        <v>5297673</v>
      </c>
      <c r="C84" s="66">
        <v>87105</v>
      </c>
      <c r="D84" s="28">
        <f t="shared" ref="D84" si="28">B84+C84</f>
        <v>5384778</v>
      </c>
      <c r="E84" s="43">
        <v>6</v>
      </c>
      <c r="F84" s="29">
        <f t="shared" ref="F84" si="29">D84+E84</f>
        <v>5384784</v>
      </c>
      <c r="G84" s="43">
        <v>11714</v>
      </c>
    </row>
    <row r="85" spans="1:7" x14ac:dyDescent="0.2">
      <c r="A85" s="91">
        <v>44196</v>
      </c>
      <c r="B85" s="66">
        <v>5285870</v>
      </c>
      <c r="C85" s="66">
        <v>107505</v>
      </c>
      <c r="D85" s="28">
        <f t="shared" ref="D85" si="30">B85+C85</f>
        <v>5393375</v>
      </c>
      <c r="E85" s="43">
        <v>7</v>
      </c>
      <c r="F85" s="29">
        <f t="shared" ref="F85" si="31">D85+E85</f>
        <v>5393382</v>
      </c>
      <c r="G85" s="43">
        <v>11461</v>
      </c>
    </row>
    <row r="86" spans="1:7" x14ac:dyDescent="0.2">
      <c r="A86" s="34" t="s">
        <v>50</v>
      </c>
    </row>
    <row r="91" spans="1:7" x14ac:dyDescent="0.2">
      <c r="A91" s="25"/>
      <c r="B91" s="25"/>
      <c r="C91" s="25"/>
      <c r="D91" s="25"/>
    </row>
    <row r="92" spans="1:7" x14ac:dyDescent="0.2">
      <c r="A92" s="25"/>
      <c r="B92" s="25"/>
      <c r="C92" s="25"/>
      <c r="D92" s="25"/>
    </row>
    <row r="93" spans="1:7" x14ac:dyDescent="0.2">
      <c r="A93" s="25"/>
      <c r="B93" s="25"/>
      <c r="C93" s="25"/>
      <c r="D93" s="25"/>
    </row>
    <row r="94" spans="1:7" x14ac:dyDescent="0.2">
      <c r="A94" s="25"/>
      <c r="B94" s="25"/>
      <c r="C94" s="25"/>
      <c r="D94" s="25"/>
    </row>
  </sheetData>
  <phoneticPr fontId="0" type="noConversion"/>
  <pageMargins left="0.75" right="0.75" top="1" bottom="1" header="0.5" footer="0.5"/>
  <pageSetup paperSize="9" scale="9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55"/>
  <sheetViews>
    <sheetView topLeftCell="A10" workbookViewId="0">
      <selection activeCell="K13" sqref="K13"/>
    </sheetView>
  </sheetViews>
  <sheetFormatPr baseColWidth="10" defaultRowHeight="12.75" x14ac:dyDescent="0.2"/>
  <cols>
    <col min="1" max="1" width="13.28515625" customWidth="1"/>
    <col min="2" max="2" width="14" style="106" customWidth="1"/>
    <col min="3" max="3" width="13.28515625" style="106" customWidth="1"/>
    <col min="4" max="5" width="9.7109375" customWidth="1"/>
    <col min="7" max="7" width="11.85546875" customWidth="1"/>
  </cols>
  <sheetData>
    <row r="1" spans="1:1" x14ac:dyDescent="0.2">
      <c r="A1" s="26" t="s">
        <v>210</v>
      </c>
    </row>
    <row r="2" spans="1:1" x14ac:dyDescent="0.2">
      <c r="A2" s="26"/>
    </row>
    <row r="3" spans="1:1" x14ac:dyDescent="0.2">
      <c r="A3" s="26"/>
    </row>
    <row r="4" spans="1:1" x14ac:dyDescent="0.2">
      <c r="A4" s="26"/>
    </row>
    <row r="5" spans="1:1" x14ac:dyDescent="0.2">
      <c r="A5" s="26"/>
    </row>
    <row r="6" spans="1:1" x14ac:dyDescent="0.2">
      <c r="A6" s="26"/>
    </row>
    <row r="7" spans="1:1" x14ac:dyDescent="0.2">
      <c r="A7" s="26"/>
    </row>
    <row r="8" spans="1:1" x14ac:dyDescent="0.2">
      <c r="A8" s="26"/>
    </row>
    <row r="9" spans="1:1" x14ac:dyDescent="0.2">
      <c r="A9" s="26"/>
    </row>
    <row r="10" spans="1:1" x14ac:dyDescent="0.2">
      <c r="A10" s="26"/>
    </row>
    <row r="11" spans="1:1" x14ac:dyDescent="0.2">
      <c r="A11" s="26"/>
    </row>
    <row r="12" spans="1:1" x14ac:dyDescent="0.2">
      <c r="A12" s="26"/>
    </row>
    <row r="13" spans="1:1" x14ac:dyDescent="0.2">
      <c r="A13" s="26"/>
    </row>
    <row r="14" spans="1:1" x14ac:dyDescent="0.2">
      <c r="A14" s="26"/>
    </row>
    <row r="15" spans="1:1" x14ac:dyDescent="0.2">
      <c r="A15" s="26"/>
    </row>
    <row r="16" spans="1:1" x14ac:dyDescent="0.2">
      <c r="A16" s="26"/>
    </row>
    <row r="17" spans="1:18" x14ac:dyDescent="0.2">
      <c r="A17" s="26"/>
    </row>
    <row r="18" spans="1:18" x14ac:dyDescent="0.2">
      <c r="A18" s="26"/>
    </row>
    <row r="19" spans="1:18" x14ac:dyDescent="0.2">
      <c r="A19" s="32"/>
    </row>
    <row r="20" spans="1:18" x14ac:dyDescent="0.2">
      <c r="A20" s="32"/>
      <c r="B20" s="107"/>
      <c r="C20" s="107" t="s">
        <v>179</v>
      </c>
      <c r="E20" s="244" t="s">
        <v>341</v>
      </c>
      <c r="F20" s="244"/>
      <c r="G20" s="244"/>
      <c r="H20" s="244"/>
      <c r="I20" s="244"/>
      <c r="J20" s="244"/>
      <c r="K20" s="13"/>
      <c r="L20" s="244" t="s">
        <v>140</v>
      </c>
      <c r="M20" s="244"/>
      <c r="N20" s="244"/>
      <c r="O20" s="244"/>
      <c r="P20" s="244"/>
    </row>
    <row r="21" spans="1:18" x14ac:dyDescent="0.2">
      <c r="A21" s="95"/>
      <c r="B21" s="108" t="s">
        <v>211</v>
      </c>
      <c r="C21" s="108" t="s">
        <v>204</v>
      </c>
      <c r="E21" s="12" t="s">
        <v>141</v>
      </c>
      <c r="F21" s="12" t="s">
        <v>70</v>
      </c>
      <c r="G21" s="12" t="s">
        <v>72</v>
      </c>
      <c r="H21" s="12" t="s">
        <v>73</v>
      </c>
      <c r="I21" s="12" t="s">
        <v>74</v>
      </c>
      <c r="J21" s="12" t="s">
        <v>142</v>
      </c>
      <c r="K21" s="12" t="s">
        <v>277</v>
      </c>
      <c r="L21" s="12" t="s">
        <v>141</v>
      </c>
      <c r="M21" s="12" t="s">
        <v>70</v>
      </c>
      <c r="N21" s="12" t="s">
        <v>72</v>
      </c>
      <c r="O21" s="12" t="s">
        <v>73</v>
      </c>
      <c r="P21" s="12" t="s">
        <v>74</v>
      </c>
      <c r="Q21" s="12" t="s">
        <v>142</v>
      </c>
      <c r="R21" s="12" t="s">
        <v>277</v>
      </c>
    </row>
    <row r="22" spans="1:18" x14ac:dyDescent="0.2">
      <c r="A22" s="37" t="s">
        <v>130</v>
      </c>
      <c r="B22" s="109">
        <f t="shared" ref="B22:B27" si="0">(F22+G22)*100/E22</f>
        <v>70</v>
      </c>
      <c r="C22" s="109">
        <f t="shared" ref="C22:C27" si="1">(M22+N22)*100/L22</f>
        <v>51.282051282051285</v>
      </c>
      <c r="E22" s="40">
        <v>90</v>
      </c>
      <c r="F22" s="40">
        <v>15</v>
      </c>
      <c r="G22" s="40">
        <v>48</v>
      </c>
      <c r="H22" s="40">
        <v>21</v>
      </c>
      <c r="I22" s="40">
        <v>5</v>
      </c>
      <c r="J22">
        <f t="shared" ref="J22:J27" si="2">E22-F22-G22-H22-I22</f>
        <v>1</v>
      </c>
      <c r="L22" s="40">
        <v>39</v>
      </c>
      <c r="M22" s="40">
        <v>4</v>
      </c>
      <c r="N22" s="40">
        <v>16</v>
      </c>
      <c r="O22" s="40">
        <v>17</v>
      </c>
      <c r="P22" s="40">
        <v>2</v>
      </c>
      <c r="Q22">
        <f t="shared" ref="Q22:Q27" si="3">L22-M22-N22-O22-P22</f>
        <v>0</v>
      </c>
    </row>
    <row r="23" spans="1:18" x14ac:dyDescent="0.2">
      <c r="A23" s="37" t="s">
        <v>131</v>
      </c>
      <c r="B23" s="109">
        <f t="shared" si="0"/>
        <v>55.172413793103445</v>
      </c>
      <c r="C23" s="109">
        <f t="shared" si="1"/>
        <v>37.142857142857146</v>
      </c>
      <c r="E23" s="40">
        <v>58</v>
      </c>
      <c r="F23" s="40">
        <v>7</v>
      </c>
      <c r="G23" s="40">
        <v>25</v>
      </c>
      <c r="H23" s="40">
        <v>22</v>
      </c>
      <c r="I23" s="40">
        <v>4</v>
      </c>
      <c r="J23">
        <f t="shared" si="2"/>
        <v>0</v>
      </c>
      <c r="L23" s="40">
        <v>35</v>
      </c>
      <c r="M23" s="40">
        <v>3</v>
      </c>
      <c r="N23" s="40">
        <v>10</v>
      </c>
      <c r="O23" s="40">
        <v>16</v>
      </c>
      <c r="P23" s="40">
        <v>6</v>
      </c>
      <c r="Q23">
        <f t="shared" si="3"/>
        <v>0</v>
      </c>
    </row>
    <row r="24" spans="1:18" s="16" customFormat="1" x14ac:dyDescent="0.2">
      <c r="A24" s="37" t="s">
        <v>135</v>
      </c>
      <c r="B24" s="109">
        <f t="shared" si="0"/>
        <v>76.36363636363636</v>
      </c>
      <c r="C24" s="109">
        <f t="shared" si="1"/>
        <v>42.10526315789474</v>
      </c>
      <c r="E24" s="105">
        <v>55</v>
      </c>
      <c r="F24" s="105">
        <v>3</v>
      </c>
      <c r="G24" s="105">
        <v>39</v>
      </c>
      <c r="H24" s="105">
        <v>10</v>
      </c>
      <c r="I24" s="105">
        <v>3</v>
      </c>
      <c r="J24">
        <f t="shared" si="2"/>
        <v>0</v>
      </c>
      <c r="K24"/>
      <c r="L24" s="105">
        <v>57</v>
      </c>
      <c r="M24" s="105">
        <v>3</v>
      </c>
      <c r="N24" s="105">
        <v>21</v>
      </c>
      <c r="O24" s="105">
        <v>24</v>
      </c>
      <c r="P24" s="105">
        <v>8</v>
      </c>
      <c r="Q24">
        <f t="shared" si="3"/>
        <v>1</v>
      </c>
    </row>
    <row r="25" spans="1:18" x14ac:dyDescent="0.2">
      <c r="A25" s="37" t="s">
        <v>174</v>
      </c>
      <c r="B25" s="109">
        <f t="shared" si="0"/>
        <v>61.53846153846154</v>
      </c>
      <c r="C25" s="109">
        <f t="shared" si="1"/>
        <v>38.70967741935484</v>
      </c>
      <c r="E25" s="40">
        <v>65</v>
      </c>
      <c r="F25" s="40">
        <v>8</v>
      </c>
      <c r="G25" s="40">
        <v>32</v>
      </c>
      <c r="H25" s="40">
        <v>21</v>
      </c>
      <c r="I25" s="40">
        <v>4</v>
      </c>
      <c r="J25">
        <f t="shared" si="2"/>
        <v>0</v>
      </c>
      <c r="L25" s="40">
        <v>62</v>
      </c>
      <c r="M25" s="40">
        <v>1</v>
      </c>
      <c r="N25" s="40">
        <v>23</v>
      </c>
      <c r="O25" s="40">
        <v>27</v>
      </c>
      <c r="P25" s="40">
        <v>10</v>
      </c>
      <c r="Q25">
        <f t="shared" si="3"/>
        <v>1</v>
      </c>
    </row>
    <row r="26" spans="1:18" x14ac:dyDescent="0.2">
      <c r="A26" s="37" t="s">
        <v>187</v>
      </c>
      <c r="B26" s="109">
        <f t="shared" si="0"/>
        <v>64.285714285714292</v>
      </c>
      <c r="C26" s="109">
        <f t="shared" si="1"/>
        <v>47.457627118644069</v>
      </c>
      <c r="E26" s="40">
        <v>70</v>
      </c>
      <c r="F26" s="40">
        <v>9</v>
      </c>
      <c r="G26" s="40">
        <v>36</v>
      </c>
      <c r="H26" s="40">
        <v>22</v>
      </c>
      <c r="I26" s="40">
        <v>3</v>
      </c>
      <c r="J26">
        <f t="shared" si="2"/>
        <v>0</v>
      </c>
      <c r="L26" s="40">
        <v>59</v>
      </c>
      <c r="M26" s="40">
        <v>2</v>
      </c>
      <c r="N26" s="40">
        <v>26</v>
      </c>
      <c r="O26" s="40">
        <v>19</v>
      </c>
      <c r="P26" s="40">
        <v>8</v>
      </c>
      <c r="Q26">
        <f t="shared" si="3"/>
        <v>4</v>
      </c>
    </row>
    <row r="27" spans="1:18" x14ac:dyDescent="0.2">
      <c r="A27" s="37" t="s">
        <v>191</v>
      </c>
      <c r="B27" s="109">
        <f t="shared" si="0"/>
        <v>68.115942028985501</v>
      </c>
      <c r="C27" s="109">
        <f t="shared" si="1"/>
        <v>34.210526315789473</v>
      </c>
      <c r="E27" s="40">
        <v>69</v>
      </c>
      <c r="F27" s="40">
        <v>3</v>
      </c>
      <c r="G27" s="40">
        <v>44</v>
      </c>
      <c r="H27" s="40">
        <v>18</v>
      </c>
      <c r="I27" s="40">
        <v>4</v>
      </c>
      <c r="J27">
        <f t="shared" si="2"/>
        <v>0</v>
      </c>
      <c r="L27" s="40">
        <v>76</v>
      </c>
      <c r="M27" s="40">
        <v>4</v>
      </c>
      <c r="N27" s="40">
        <v>22</v>
      </c>
      <c r="O27" s="40">
        <v>21</v>
      </c>
      <c r="P27" s="40">
        <v>24</v>
      </c>
      <c r="Q27">
        <f t="shared" si="3"/>
        <v>5</v>
      </c>
    </row>
    <row r="28" spans="1:18" x14ac:dyDescent="0.2">
      <c r="A28" s="37" t="s">
        <v>263</v>
      </c>
      <c r="B28" s="106">
        <f t="shared" ref="B28:B34" si="4">(F28+G28)*100/E28</f>
        <v>73.239436619718305</v>
      </c>
      <c r="C28" s="106">
        <f t="shared" ref="C28:C34" si="5">(M28+N28)*100/L28</f>
        <v>44.927536231884055</v>
      </c>
      <c r="E28" s="53">
        <f>SUM(F28:J28)</f>
        <v>71</v>
      </c>
      <c r="F28" s="40">
        <f>1+2</f>
        <v>3</v>
      </c>
      <c r="G28" s="40">
        <f>19+30</f>
        <v>49</v>
      </c>
      <c r="H28" s="40">
        <f>6+8</f>
        <v>14</v>
      </c>
      <c r="I28" s="40">
        <f>1+4</f>
        <v>5</v>
      </c>
      <c r="J28" s="40">
        <f>0</f>
        <v>0</v>
      </c>
      <c r="K28" s="40"/>
      <c r="L28" s="53">
        <f>SUM(M28:Q28)</f>
        <v>69</v>
      </c>
      <c r="M28" s="40">
        <f>1+1</f>
        <v>2</v>
      </c>
      <c r="N28" s="40">
        <f>10+19</f>
        <v>29</v>
      </c>
      <c r="O28" s="40">
        <f>9+12</f>
        <v>21</v>
      </c>
      <c r="P28" s="40">
        <f>1+8</f>
        <v>9</v>
      </c>
      <c r="Q28" s="40">
        <f>1+7</f>
        <v>8</v>
      </c>
    </row>
    <row r="29" spans="1:18" x14ac:dyDescent="0.2">
      <c r="A29" s="37" t="s">
        <v>267</v>
      </c>
      <c r="B29" s="106">
        <f t="shared" si="4"/>
        <v>72.058823529411768</v>
      </c>
      <c r="C29" s="106">
        <f t="shared" si="5"/>
        <v>33.333333333333336</v>
      </c>
      <c r="E29" s="53">
        <f>SUM(F29:J29)</f>
        <v>68</v>
      </c>
      <c r="F29" s="40">
        <f>4+1</f>
        <v>5</v>
      </c>
      <c r="G29" s="40">
        <f>21+23</f>
        <v>44</v>
      </c>
      <c r="H29" s="40">
        <f>6+6</f>
        <v>12</v>
      </c>
      <c r="I29" s="40">
        <f>1+6</f>
        <v>7</v>
      </c>
      <c r="J29" s="40">
        <v>0</v>
      </c>
      <c r="K29" s="40"/>
      <c r="L29" s="53">
        <f>SUM(M29:Q29)</f>
        <v>54</v>
      </c>
      <c r="M29" s="40">
        <f>1+1</f>
        <v>2</v>
      </c>
      <c r="N29" s="40">
        <f>6+10</f>
        <v>16</v>
      </c>
      <c r="O29" s="40">
        <f>4+9</f>
        <v>13</v>
      </c>
      <c r="P29" s="40">
        <f>1+12</f>
        <v>13</v>
      </c>
      <c r="Q29" s="40">
        <f>1+9</f>
        <v>10</v>
      </c>
    </row>
    <row r="30" spans="1:18" x14ac:dyDescent="0.2">
      <c r="A30" s="37" t="s">
        <v>271</v>
      </c>
      <c r="B30" s="106">
        <f t="shared" si="4"/>
        <v>81.914893617021278</v>
      </c>
      <c r="C30" s="106">
        <f t="shared" si="5"/>
        <v>29.11392405063291</v>
      </c>
      <c r="E30" s="53">
        <f>SUM(F30:J30)</f>
        <v>94</v>
      </c>
      <c r="F30" s="40">
        <f>8+9</f>
        <v>17</v>
      </c>
      <c r="G30" s="40">
        <f>28+32</f>
        <v>60</v>
      </c>
      <c r="H30" s="40">
        <f>8+8</f>
        <v>16</v>
      </c>
      <c r="I30" s="40">
        <f>0+1</f>
        <v>1</v>
      </c>
      <c r="J30" s="40">
        <f t="shared" ref="J30:J36" si="6">0+0</f>
        <v>0</v>
      </c>
      <c r="K30" s="40"/>
      <c r="L30" s="53">
        <f>SUM(M30:Q30)</f>
        <v>79</v>
      </c>
      <c r="M30" s="40">
        <f>0</f>
        <v>0</v>
      </c>
      <c r="N30" s="40">
        <f>6+17</f>
        <v>23</v>
      </c>
      <c r="O30" s="40">
        <f>11+12</f>
        <v>23</v>
      </c>
      <c r="P30" s="40">
        <f>2+19</f>
        <v>21</v>
      </c>
      <c r="Q30" s="40">
        <f>4+8</f>
        <v>12</v>
      </c>
    </row>
    <row r="31" spans="1:18" x14ac:dyDescent="0.2">
      <c r="A31" s="37" t="s">
        <v>275</v>
      </c>
      <c r="B31" s="106">
        <f t="shared" si="4"/>
        <v>81.609195402298852</v>
      </c>
      <c r="C31" s="106">
        <f t="shared" si="5"/>
        <v>25.373134328358208</v>
      </c>
      <c r="E31" s="53">
        <f>SUM(F31:J31)</f>
        <v>87</v>
      </c>
      <c r="F31" s="40">
        <f>7+11</f>
        <v>18</v>
      </c>
      <c r="G31" s="40">
        <f>33+20</f>
        <v>53</v>
      </c>
      <c r="H31" s="40">
        <f>5+8</f>
        <v>13</v>
      </c>
      <c r="I31" s="40">
        <f>3</f>
        <v>3</v>
      </c>
      <c r="J31" s="40">
        <f t="shared" si="6"/>
        <v>0</v>
      </c>
      <c r="K31" s="40"/>
      <c r="L31" s="53">
        <f>SUM(M31:Q31)</f>
        <v>67</v>
      </c>
      <c r="M31" s="40">
        <f>1</f>
        <v>1</v>
      </c>
      <c r="N31" s="40">
        <f>10+6</f>
        <v>16</v>
      </c>
      <c r="O31" s="40">
        <f>10+17</f>
        <v>27</v>
      </c>
      <c r="P31" s="40">
        <f>3+17</f>
        <v>20</v>
      </c>
      <c r="Q31" s="40">
        <f>3</f>
        <v>3</v>
      </c>
    </row>
    <row r="32" spans="1:18" x14ac:dyDescent="0.2">
      <c r="A32" s="37" t="s">
        <v>280</v>
      </c>
      <c r="B32" s="106">
        <f t="shared" si="4"/>
        <v>72.41379310344827</v>
      </c>
      <c r="C32" s="106">
        <f t="shared" si="5"/>
        <v>28.8135593220339</v>
      </c>
      <c r="E32" s="53">
        <f>SUM(F32:K32)</f>
        <v>87</v>
      </c>
      <c r="F32" s="40">
        <f>9+6</f>
        <v>15</v>
      </c>
      <c r="G32" s="40">
        <f>27+21</f>
        <v>48</v>
      </c>
      <c r="H32" s="40">
        <f>13+9</f>
        <v>22</v>
      </c>
      <c r="I32" s="40">
        <f>2</f>
        <v>2</v>
      </c>
      <c r="J32" s="40">
        <f t="shared" si="6"/>
        <v>0</v>
      </c>
      <c r="K32" s="40">
        <v>0</v>
      </c>
      <c r="L32" s="53">
        <f>SUM(M32:R32)</f>
        <v>59</v>
      </c>
      <c r="M32" s="40">
        <v>2</v>
      </c>
      <c r="N32" s="40">
        <v>15</v>
      </c>
      <c r="O32" s="40">
        <v>18</v>
      </c>
      <c r="P32" s="40">
        <v>14</v>
      </c>
      <c r="Q32" s="40">
        <v>10</v>
      </c>
      <c r="R32" s="145">
        <v>0</v>
      </c>
    </row>
    <row r="33" spans="1:18" x14ac:dyDescent="0.2">
      <c r="A33" s="37" t="s">
        <v>281</v>
      </c>
      <c r="B33" s="106">
        <f t="shared" si="4"/>
        <v>70.329670329670336</v>
      </c>
      <c r="C33" s="106">
        <f t="shared" si="5"/>
        <v>30.555555555555557</v>
      </c>
      <c r="E33" s="53">
        <f>SUM(F33:K33)</f>
        <v>91</v>
      </c>
      <c r="F33" s="40">
        <f>3+10</f>
        <v>13</v>
      </c>
      <c r="G33" s="40">
        <f>27+24</f>
        <v>51</v>
      </c>
      <c r="H33" s="40">
        <f>8+13</f>
        <v>21</v>
      </c>
      <c r="I33" s="40">
        <f>1+5</f>
        <v>6</v>
      </c>
      <c r="J33" s="40">
        <f t="shared" si="6"/>
        <v>0</v>
      </c>
      <c r="K33" s="40">
        <v>0</v>
      </c>
      <c r="L33" s="53">
        <f>SUM(M33:R33)</f>
        <v>72</v>
      </c>
      <c r="M33" s="40">
        <f>3+0</f>
        <v>3</v>
      </c>
      <c r="N33" s="40">
        <f>9+10</f>
        <v>19</v>
      </c>
      <c r="O33" s="40">
        <f>17+10</f>
        <v>27</v>
      </c>
      <c r="P33" s="40">
        <f>3+11</f>
        <v>14</v>
      </c>
      <c r="Q33" s="40">
        <f>1+8</f>
        <v>9</v>
      </c>
      <c r="R33" s="145">
        <v>0</v>
      </c>
    </row>
    <row r="34" spans="1:18" x14ac:dyDescent="0.2">
      <c r="A34" s="37" t="s">
        <v>282</v>
      </c>
      <c r="B34" s="106">
        <f t="shared" si="4"/>
        <v>76.19047619047619</v>
      </c>
      <c r="C34" s="106">
        <f t="shared" si="5"/>
        <v>31.25</v>
      </c>
      <c r="E34" s="53">
        <f>SUM(F34:K34)</f>
        <v>84</v>
      </c>
      <c r="F34" s="40">
        <f>4+6</f>
        <v>10</v>
      </c>
      <c r="G34" s="40">
        <f>26+28</f>
        <v>54</v>
      </c>
      <c r="H34" s="40">
        <f>5+10</f>
        <v>15</v>
      </c>
      <c r="I34" s="40">
        <f>2+3</f>
        <v>5</v>
      </c>
      <c r="J34" s="40">
        <f t="shared" si="6"/>
        <v>0</v>
      </c>
      <c r="K34" s="40">
        <v>0</v>
      </c>
      <c r="L34" s="53">
        <f>SUM(M34:R34)</f>
        <v>48</v>
      </c>
      <c r="M34" s="40">
        <f>0+2</f>
        <v>2</v>
      </c>
      <c r="N34" s="40">
        <f>6+7</f>
        <v>13</v>
      </c>
      <c r="O34" s="40">
        <f>4+8</f>
        <v>12</v>
      </c>
      <c r="P34" s="40">
        <f>4+8</f>
        <v>12</v>
      </c>
      <c r="Q34" s="40">
        <f>1+8</f>
        <v>9</v>
      </c>
      <c r="R34" s="145">
        <v>0</v>
      </c>
    </row>
    <row r="35" spans="1:18" x14ac:dyDescent="0.2">
      <c r="A35" s="37" t="s">
        <v>283</v>
      </c>
      <c r="B35" s="106">
        <f t="shared" ref="B35:B40" si="7">(F35+G35)*100/E35</f>
        <v>79</v>
      </c>
      <c r="C35" s="106">
        <f t="shared" ref="C35:C40" si="8">(M35+N35)*100/L35</f>
        <v>32.38095238095238</v>
      </c>
      <c r="E35" s="53">
        <f t="shared" ref="E35:E40" si="9">SUM(F35:K35)</f>
        <v>100</v>
      </c>
      <c r="F35" s="40">
        <f>7+9</f>
        <v>16</v>
      </c>
      <c r="G35" s="40">
        <f>39+24</f>
        <v>63</v>
      </c>
      <c r="H35" s="40">
        <f>8+10</f>
        <v>18</v>
      </c>
      <c r="I35" s="40">
        <f>1+2</f>
        <v>3</v>
      </c>
      <c r="J35" s="40">
        <f t="shared" si="6"/>
        <v>0</v>
      </c>
      <c r="K35" s="40">
        <v>0</v>
      </c>
      <c r="L35" s="53">
        <f t="shared" ref="L35:L40" si="10">SUM(M35:R35)</f>
        <v>105</v>
      </c>
      <c r="M35" s="40">
        <f>1+0</f>
        <v>1</v>
      </c>
      <c r="N35" s="40">
        <f>16+17</f>
        <v>33</v>
      </c>
      <c r="O35" s="40">
        <f>12+18</f>
        <v>30</v>
      </c>
      <c r="P35" s="40">
        <f>4+12</f>
        <v>16</v>
      </c>
      <c r="Q35" s="40">
        <f>5+20</f>
        <v>25</v>
      </c>
      <c r="R35" s="145">
        <v>0</v>
      </c>
    </row>
    <row r="36" spans="1:18" x14ac:dyDescent="0.2">
      <c r="A36" s="37" t="s">
        <v>284</v>
      </c>
      <c r="B36" s="106">
        <f t="shared" si="7"/>
        <v>73.493975903614455</v>
      </c>
      <c r="C36" s="106">
        <f t="shared" si="8"/>
        <v>42.666666666666664</v>
      </c>
      <c r="E36" s="53">
        <f t="shared" si="9"/>
        <v>83</v>
      </c>
      <c r="F36" s="40">
        <f>6+9</f>
        <v>15</v>
      </c>
      <c r="G36" s="40">
        <f>30+16</f>
        <v>46</v>
      </c>
      <c r="H36" s="40">
        <f>7+8</f>
        <v>15</v>
      </c>
      <c r="I36" s="40">
        <f>1+6</f>
        <v>7</v>
      </c>
      <c r="J36" s="40">
        <f t="shared" si="6"/>
        <v>0</v>
      </c>
      <c r="K36" s="40">
        <v>0</v>
      </c>
      <c r="L36" s="53">
        <f t="shared" si="10"/>
        <v>75</v>
      </c>
      <c r="M36" s="40">
        <f>0+0</f>
        <v>0</v>
      </c>
      <c r="N36" s="40">
        <f>10+22</f>
        <v>32</v>
      </c>
      <c r="O36" s="40">
        <f>8+12</f>
        <v>20</v>
      </c>
      <c r="P36" s="40">
        <f>3+8</f>
        <v>11</v>
      </c>
      <c r="Q36" s="40">
        <f>0+12</f>
        <v>12</v>
      </c>
      <c r="R36" s="145">
        <v>0</v>
      </c>
    </row>
    <row r="37" spans="1:18" x14ac:dyDescent="0.2">
      <c r="A37" s="37" t="s">
        <v>285</v>
      </c>
      <c r="B37" s="106">
        <f t="shared" si="7"/>
        <v>66.34615384615384</v>
      </c>
      <c r="C37" s="106">
        <f t="shared" si="8"/>
        <v>30.555555555555557</v>
      </c>
      <c r="E37" s="53">
        <f t="shared" si="9"/>
        <v>104</v>
      </c>
      <c r="F37" s="40">
        <f>5+4</f>
        <v>9</v>
      </c>
      <c r="G37" s="40">
        <f>28+32</f>
        <v>60</v>
      </c>
      <c r="H37" s="40">
        <f>10+20</f>
        <v>30</v>
      </c>
      <c r="I37" s="40">
        <f>0+2</f>
        <v>2</v>
      </c>
      <c r="J37" s="40">
        <f>1+2</f>
        <v>3</v>
      </c>
      <c r="K37" s="40">
        <v>0</v>
      </c>
      <c r="L37" s="53">
        <f t="shared" si="10"/>
        <v>72</v>
      </c>
      <c r="M37" s="40">
        <f>0+1</f>
        <v>1</v>
      </c>
      <c r="N37" s="40">
        <f>10+11</f>
        <v>21</v>
      </c>
      <c r="O37" s="40">
        <f>9+15</f>
        <v>24</v>
      </c>
      <c r="P37" s="40">
        <f>3+6</f>
        <v>9</v>
      </c>
      <c r="Q37" s="40">
        <f>7+10</f>
        <v>17</v>
      </c>
      <c r="R37" s="145">
        <v>0</v>
      </c>
    </row>
    <row r="38" spans="1:18" x14ac:dyDescent="0.2">
      <c r="A38" s="37" t="s">
        <v>286</v>
      </c>
      <c r="B38" s="106">
        <f t="shared" si="7"/>
        <v>76.041666666666671</v>
      </c>
      <c r="C38" s="106">
        <f t="shared" si="8"/>
        <v>19.672131147540984</v>
      </c>
      <c r="E38" s="53">
        <f t="shared" si="9"/>
        <v>96</v>
      </c>
      <c r="F38" s="40">
        <v>11</v>
      </c>
      <c r="G38" s="40">
        <v>62</v>
      </c>
      <c r="H38" s="40">
        <v>19</v>
      </c>
      <c r="I38" s="40">
        <v>4</v>
      </c>
      <c r="J38" s="40">
        <v>0</v>
      </c>
      <c r="K38" s="40">
        <v>0</v>
      </c>
      <c r="L38" s="53">
        <f t="shared" si="10"/>
        <v>61</v>
      </c>
      <c r="M38" s="40">
        <v>0</v>
      </c>
      <c r="N38" s="40">
        <v>12</v>
      </c>
      <c r="O38" s="40">
        <v>17</v>
      </c>
      <c r="P38" s="40">
        <v>14</v>
      </c>
      <c r="Q38" s="40">
        <v>18</v>
      </c>
      <c r="R38" s="145">
        <v>0</v>
      </c>
    </row>
    <row r="39" spans="1:18" x14ac:dyDescent="0.2">
      <c r="A39" s="37" t="s">
        <v>299</v>
      </c>
      <c r="B39" s="106">
        <f t="shared" si="7"/>
        <v>72.131147540983605</v>
      </c>
      <c r="C39" s="106">
        <f t="shared" si="8"/>
        <v>23.913043478260871</v>
      </c>
      <c r="E39" s="53">
        <f t="shared" si="9"/>
        <v>122</v>
      </c>
      <c r="F39" s="40">
        <v>15</v>
      </c>
      <c r="G39" s="40">
        <v>73</v>
      </c>
      <c r="H39" s="40">
        <v>26</v>
      </c>
      <c r="I39" s="40">
        <v>7</v>
      </c>
      <c r="J39" s="40">
        <v>1</v>
      </c>
      <c r="K39" s="40">
        <v>0</v>
      </c>
      <c r="L39" s="53">
        <f t="shared" si="10"/>
        <v>92</v>
      </c>
      <c r="M39" s="40">
        <v>2</v>
      </c>
      <c r="N39" s="40">
        <v>20</v>
      </c>
      <c r="O39" s="40">
        <v>28</v>
      </c>
      <c r="P39" s="40">
        <v>25</v>
      </c>
      <c r="Q39" s="40">
        <v>17</v>
      </c>
      <c r="R39" s="145">
        <v>0</v>
      </c>
    </row>
    <row r="40" spans="1:18" x14ac:dyDescent="0.2">
      <c r="A40" s="37" t="s">
        <v>304</v>
      </c>
      <c r="B40" s="106">
        <f t="shared" si="7"/>
        <v>70.238095238095241</v>
      </c>
      <c r="C40" s="106">
        <f t="shared" si="8"/>
        <v>37.5</v>
      </c>
      <c r="E40" s="53">
        <f t="shared" si="9"/>
        <v>84</v>
      </c>
      <c r="F40" s="40">
        <v>18</v>
      </c>
      <c r="G40" s="40">
        <v>41</v>
      </c>
      <c r="H40" s="40">
        <v>19</v>
      </c>
      <c r="I40" s="40">
        <v>6</v>
      </c>
      <c r="J40" s="40">
        <v>0</v>
      </c>
      <c r="K40" s="40">
        <v>0</v>
      </c>
      <c r="L40" s="53">
        <f t="shared" si="10"/>
        <v>96</v>
      </c>
      <c r="M40" s="40">
        <v>0</v>
      </c>
      <c r="N40" s="40">
        <v>36</v>
      </c>
      <c r="O40" s="40">
        <v>28</v>
      </c>
      <c r="P40" s="40">
        <v>17</v>
      </c>
      <c r="Q40" s="40">
        <v>15</v>
      </c>
      <c r="R40" s="145">
        <v>0</v>
      </c>
    </row>
    <row r="41" spans="1:18" x14ac:dyDescent="0.2">
      <c r="A41" s="37" t="s">
        <v>327</v>
      </c>
      <c r="B41" s="106">
        <f t="shared" ref="B41:B46" si="11">(F41+G41)*100/E41</f>
        <v>67.272727272727266</v>
      </c>
      <c r="C41" s="106">
        <f t="shared" ref="C41:C46" si="12">(M41+N41)*100/L41</f>
        <v>32.584269662921351</v>
      </c>
      <c r="E41" s="53">
        <f t="shared" ref="E41:E46" si="13">SUM(F41:K41)</f>
        <v>110</v>
      </c>
      <c r="F41" s="40">
        <f>3+6</f>
        <v>9</v>
      </c>
      <c r="G41" s="40">
        <f>36+29</f>
        <v>65</v>
      </c>
      <c r="H41" s="40">
        <f>11+20</f>
        <v>31</v>
      </c>
      <c r="I41" s="40">
        <v>5</v>
      </c>
      <c r="J41" s="40">
        <v>0</v>
      </c>
      <c r="K41" s="40">
        <v>0</v>
      </c>
      <c r="L41" s="53">
        <f t="shared" ref="L41:L46" si="14">SUM(M41:R41)</f>
        <v>89</v>
      </c>
      <c r="M41" s="40">
        <v>2</v>
      </c>
      <c r="N41" s="40">
        <v>27</v>
      </c>
      <c r="O41" s="40">
        <v>26</v>
      </c>
      <c r="P41" s="40">
        <v>21</v>
      </c>
      <c r="Q41" s="40">
        <v>13</v>
      </c>
      <c r="R41" s="145">
        <v>0</v>
      </c>
    </row>
    <row r="42" spans="1:18" x14ac:dyDescent="0.2">
      <c r="A42" s="37" t="s">
        <v>329</v>
      </c>
      <c r="B42" s="106">
        <f t="shared" si="11"/>
        <v>75.925925925925924</v>
      </c>
      <c r="C42" s="106">
        <f t="shared" si="12"/>
        <v>32.608695652173914</v>
      </c>
      <c r="E42" s="53">
        <f t="shared" si="13"/>
        <v>108</v>
      </c>
      <c r="F42" s="40">
        <f>11+7</f>
        <v>18</v>
      </c>
      <c r="G42" s="40">
        <f>33+31</f>
        <v>64</v>
      </c>
      <c r="H42" s="40">
        <f>10+15</f>
        <v>25</v>
      </c>
      <c r="I42" s="40">
        <v>1</v>
      </c>
      <c r="J42" s="40">
        <v>0</v>
      </c>
      <c r="K42" s="40">
        <v>0</v>
      </c>
      <c r="L42" s="53">
        <f t="shared" si="14"/>
        <v>92</v>
      </c>
      <c r="M42" s="40">
        <v>2</v>
      </c>
      <c r="N42" s="40">
        <v>28</v>
      </c>
      <c r="O42" s="40">
        <v>28</v>
      </c>
      <c r="P42" s="40">
        <v>10</v>
      </c>
      <c r="Q42" s="40">
        <v>23</v>
      </c>
      <c r="R42" s="145">
        <v>1</v>
      </c>
    </row>
    <row r="43" spans="1:18" x14ac:dyDescent="0.2">
      <c r="A43" s="37" t="s">
        <v>330</v>
      </c>
      <c r="B43" s="106">
        <f t="shared" si="11"/>
        <v>77.868852459016395</v>
      </c>
      <c r="C43" s="106">
        <f t="shared" si="12"/>
        <v>34.523809523809526</v>
      </c>
      <c r="E43" s="53">
        <f t="shared" si="13"/>
        <v>122</v>
      </c>
      <c r="F43" s="40">
        <f>14+5</f>
        <v>19</v>
      </c>
      <c r="G43" s="40">
        <f>34+42</f>
        <v>76</v>
      </c>
      <c r="H43" s="40">
        <f>15+9</f>
        <v>24</v>
      </c>
      <c r="I43" s="40">
        <v>3</v>
      </c>
      <c r="J43" s="40">
        <v>0</v>
      </c>
      <c r="K43" s="40">
        <v>0</v>
      </c>
      <c r="L43" s="53">
        <f t="shared" si="14"/>
        <v>84</v>
      </c>
      <c r="M43" s="40">
        <v>1</v>
      </c>
      <c r="N43" s="40">
        <f>17+11</f>
        <v>28</v>
      </c>
      <c r="O43" s="40">
        <f>10+9</f>
        <v>19</v>
      </c>
      <c r="P43" s="40">
        <f>6+7</f>
        <v>13</v>
      </c>
      <c r="Q43" s="40">
        <f>3+20</f>
        <v>23</v>
      </c>
      <c r="R43" s="145">
        <v>0</v>
      </c>
    </row>
    <row r="44" spans="1:18" x14ac:dyDescent="0.2">
      <c r="A44" s="37" t="s">
        <v>332</v>
      </c>
      <c r="B44" s="106">
        <f t="shared" si="11"/>
        <v>67.368421052631575</v>
      </c>
      <c r="C44" s="106">
        <f t="shared" si="12"/>
        <v>39.473684210526315</v>
      </c>
      <c r="E44" s="53">
        <f t="shared" si="13"/>
        <v>95</v>
      </c>
      <c r="F44" s="40">
        <f>9+5</f>
        <v>14</v>
      </c>
      <c r="G44" s="40">
        <f>22+28</f>
        <v>50</v>
      </c>
      <c r="H44" s="40">
        <f>13+12</f>
        <v>25</v>
      </c>
      <c r="I44" s="40">
        <v>5</v>
      </c>
      <c r="J44" s="40">
        <v>1</v>
      </c>
      <c r="K44" s="40">
        <v>0</v>
      </c>
      <c r="L44" s="53">
        <f t="shared" si="14"/>
        <v>76</v>
      </c>
      <c r="M44" s="40">
        <f>2+1</f>
        <v>3</v>
      </c>
      <c r="N44" s="40">
        <f>11+16</f>
        <v>27</v>
      </c>
      <c r="O44" s="40">
        <f>12+9</f>
        <v>21</v>
      </c>
      <c r="P44" s="40">
        <f>4+8</f>
        <v>12</v>
      </c>
      <c r="Q44" s="40">
        <f>3+9</f>
        <v>12</v>
      </c>
      <c r="R44" s="145">
        <v>1</v>
      </c>
    </row>
    <row r="45" spans="1:18" x14ac:dyDescent="0.2">
      <c r="A45" s="37" t="s">
        <v>335</v>
      </c>
      <c r="B45" s="106">
        <f t="shared" si="11"/>
        <v>70.676691729323309</v>
      </c>
      <c r="C45" s="106">
        <f t="shared" si="12"/>
        <v>33.628318584070797</v>
      </c>
      <c r="E45" s="53">
        <f t="shared" si="13"/>
        <v>133</v>
      </c>
      <c r="F45" s="40">
        <f>12+5</f>
        <v>17</v>
      </c>
      <c r="G45" s="40">
        <f>39+38</f>
        <v>77</v>
      </c>
      <c r="H45" s="40">
        <f>14+17</f>
        <v>31</v>
      </c>
      <c r="I45" s="40">
        <v>7</v>
      </c>
      <c r="J45" s="40">
        <v>1</v>
      </c>
      <c r="K45" s="40">
        <v>0</v>
      </c>
      <c r="L45" s="53">
        <f t="shared" si="14"/>
        <v>113</v>
      </c>
      <c r="M45" s="40">
        <v>1</v>
      </c>
      <c r="N45" s="40">
        <f>18+19</f>
        <v>37</v>
      </c>
      <c r="O45" s="40">
        <f>15+17</f>
        <v>32</v>
      </c>
      <c r="P45" s="40">
        <f>7+15</f>
        <v>22</v>
      </c>
      <c r="Q45" s="40">
        <f>3+16</f>
        <v>19</v>
      </c>
      <c r="R45" s="145">
        <v>2</v>
      </c>
    </row>
    <row r="46" spans="1:18" x14ac:dyDescent="0.2">
      <c r="A46" s="37" t="s">
        <v>337</v>
      </c>
      <c r="B46" s="106">
        <f t="shared" si="11"/>
        <v>74.226804123711347</v>
      </c>
      <c r="C46" s="106">
        <f t="shared" si="12"/>
        <v>35.051546391752581</v>
      </c>
      <c r="E46" s="53">
        <f t="shared" si="13"/>
        <v>97</v>
      </c>
      <c r="F46" s="40">
        <f>5+6</f>
        <v>11</v>
      </c>
      <c r="G46" s="40">
        <f>35+26</f>
        <v>61</v>
      </c>
      <c r="H46" s="40">
        <f>11+13</f>
        <v>24</v>
      </c>
      <c r="I46" s="40">
        <v>1</v>
      </c>
      <c r="J46" s="40">
        <v>0</v>
      </c>
      <c r="K46" s="40">
        <v>0</v>
      </c>
      <c r="L46" s="53">
        <f t="shared" si="14"/>
        <v>97</v>
      </c>
      <c r="M46" s="40">
        <v>3</v>
      </c>
      <c r="N46" s="40">
        <f>19+12</f>
        <v>31</v>
      </c>
      <c r="O46" s="40">
        <f>16+10</f>
        <v>26</v>
      </c>
      <c r="P46" s="40">
        <f>3+12</f>
        <v>15</v>
      </c>
      <c r="Q46" s="40">
        <f>2+19</f>
        <v>21</v>
      </c>
      <c r="R46" s="145">
        <v>1</v>
      </c>
    </row>
    <row r="47" spans="1:18" x14ac:dyDescent="0.2">
      <c r="A47" s="37" t="s">
        <v>338</v>
      </c>
      <c r="B47" s="106">
        <f t="shared" ref="B47:B52" si="15">(F47+G47)*100/E47</f>
        <v>70.186335403726702</v>
      </c>
      <c r="C47" s="106">
        <f t="shared" ref="C47:C52" si="16">(M47+N47)*100/L47</f>
        <v>39.393939393939391</v>
      </c>
      <c r="E47" s="53">
        <f t="shared" ref="E47:E52" si="17">SUM(F47:K47)</f>
        <v>161</v>
      </c>
      <c r="F47" s="40">
        <f>11+11</f>
        <v>22</v>
      </c>
      <c r="G47" s="40">
        <f>52+39</f>
        <v>91</v>
      </c>
      <c r="H47" s="40">
        <f>24+19</f>
        <v>43</v>
      </c>
      <c r="I47" s="40">
        <v>5</v>
      </c>
      <c r="J47" s="40">
        <v>0</v>
      </c>
      <c r="K47" s="40">
        <v>0</v>
      </c>
      <c r="L47" s="53">
        <f t="shared" ref="L47:L53" si="18">SUM(M47:R47)</f>
        <v>132</v>
      </c>
      <c r="M47" s="40">
        <v>5</v>
      </c>
      <c r="N47" s="40">
        <f>19+28</f>
        <v>47</v>
      </c>
      <c r="O47" s="40">
        <f>17+18</f>
        <v>35</v>
      </c>
      <c r="P47" s="40">
        <f>8+13</f>
        <v>21</v>
      </c>
      <c r="Q47" s="40">
        <f>4+20</f>
        <v>24</v>
      </c>
      <c r="R47" s="145">
        <v>0</v>
      </c>
    </row>
    <row r="48" spans="1:18" x14ac:dyDescent="0.2">
      <c r="A48" s="37" t="s">
        <v>339</v>
      </c>
      <c r="B48" s="106">
        <f t="shared" si="15"/>
        <v>75.531914893617028</v>
      </c>
      <c r="C48" s="106">
        <f t="shared" si="16"/>
        <v>41.379310344827587</v>
      </c>
      <c r="E48" s="53">
        <f t="shared" si="17"/>
        <v>94</v>
      </c>
      <c r="F48" s="40">
        <f>7+8</f>
        <v>15</v>
      </c>
      <c r="G48" s="40">
        <f>25+31</f>
        <v>56</v>
      </c>
      <c r="H48" s="40">
        <f>12+9</f>
        <v>21</v>
      </c>
      <c r="I48" s="40">
        <v>1</v>
      </c>
      <c r="J48" s="40">
        <v>1</v>
      </c>
      <c r="K48" s="40">
        <v>0</v>
      </c>
      <c r="L48" s="53">
        <f t="shared" si="18"/>
        <v>87</v>
      </c>
      <c r="M48" s="40">
        <v>3</v>
      </c>
      <c r="N48" s="40">
        <f>14+19</f>
        <v>33</v>
      </c>
      <c r="O48" s="40">
        <f>7+11</f>
        <v>18</v>
      </c>
      <c r="P48" s="40">
        <f>4+11</f>
        <v>15</v>
      </c>
      <c r="Q48" s="40">
        <f>2+15</f>
        <v>17</v>
      </c>
      <c r="R48" s="145">
        <v>1</v>
      </c>
    </row>
    <row r="49" spans="1:18" x14ac:dyDescent="0.2">
      <c r="A49" s="37" t="s">
        <v>340</v>
      </c>
      <c r="B49" s="106">
        <f t="shared" si="15"/>
        <v>69.911504424778755</v>
      </c>
      <c r="C49" s="106">
        <f t="shared" si="16"/>
        <v>37.89473684210526</v>
      </c>
      <c r="E49" s="53">
        <f t="shared" si="17"/>
        <v>113</v>
      </c>
      <c r="F49" s="40">
        <f>8+8</f>
        <v>16</v>
      </c>
      <c r="G49" s="40">
        <f>31+32</f>
        <v>63</v>
      </c>
      <c r="H49" s="40">
        <f>17+13</f>
        <v>30</v>
      </c>
      <c r="I49" s="40">
        <v>4</v>
      </c>
      <c r="J49" s="40">
        <v>0</v>
      </c>
      <c r="K49" s="40">
        <v>0</v>
      </c>
      <c r="L49" s="53">
        <f t="shared" si="18"/>
        <v>95</v>
      </c>
      <c r="M49" s="40">
        <v>1</v>
      </c>
      <c r="N49" s="40">
        <f>17+18</f>
        <v>35</v>
      </c>
      <c r="O49" s="40">
        <f>16+20</f>
        <v>36</v>
      </c>
      <c r="P49" s="40">
        <f>1+10</f>
        <v>11</v>
      </c>
      <c r="Q49" s="40">
        <f>4+7</f>
        <v>11</v>
      </c>
      <c r="R49" s="145">
        <v>1</v>
      </c>
    </row>
    <row r="50" spans="1:18" x14ac:dyDescent="0.2">
      <c r="A50" s="37" t="s">
        <v>342</v>
      </c>
      <c r="B50" s="106">
        <f t="shared" si="15"/>
        <v>68.224299065420567</v>
      </c>
      <c r="C50" s="106">
        <f t="shared" si="16"/>
        <v>26.595744680851062</v>
      </c>
      <c r="E50" s="53">
        <f t="shared" si="17"/>
        <v>107</v>
      </c>
      <c r="F50" s="40">
        <f>5+4</f>
        <v>9</v>
      </c>
      <c r="G50" s="40">
        <f>31+33</f>
        <v>64</v>
      </c>
      <c r="H50" s="40">
        <f>12+13</f>
        <v>25</v>
      </c>
      <c r="I50" s="40">
        <v>9</v>
      </c>
      <c r="J50" s="40">
        <v>0</v>
      </c>
      <c r="K50" s="40">
        <v>0</v>
      </c>
      <c r="L50" s="53">
        <f t="shared" si="18"/>
        <v>94</v>
      </c>
      <c r="M50" s="40">
        <v>1</v>
      </c>
      <c r="N50" s="40">
        <v>24</v>
      </c>
      <c r="O50" s="40">
        <v>29</v>
      </c>
      <c r="P50" s="40">
        <v>15</v>
      </c>
      <c r="Q50" s="40">
        <v>25</v>
      </c>
      <c r="R50" s="145">
        <v>0</v>
      </c>
    </row>
    <row r="51" spans="1:18" x14ac:dyDescent="0.2">
      <c r="A51" s="37" t="s">
        <v>343</v>
      </c>
      <c r="B51" s="106">
        <f t="shared" si="15"/>
        <v>70.422535211267601</v>
      </c>
      <c r="C51" s="106">
        <f t="shared" si="16"/>
        <v>32.716049382716051</v>
      </c>
      <c r="E51" s="53">
        <f t="shared" si="17"/>
        <v>142</v>
      </c>
      <c r="F51" s="40">
        <f>13+5</f>
        <v>18</v>
      </c>
      <c r="G51" s="40">
        <f>50+32</f>
        <v>82</v>
      </c>
      <c r="H51" s="40">
        <f>15+24</f>
        <v>39</v>
      </c>
      <c r="I51" s="40">
        <v>3</v>
      </c>
      <c r="J51" s="40">
        <v>0</v>
      </c>
      <c r="K51" s="40">
        <v>0</v>
      </c>
      <c r="L51" s="53">
        <f t="shared" si="18"/>
        <v>162</v>
      </c>
      <c r="M51" s="40">
        <f>1+2</f>
        <v>3</v>
      </c>
      <c r="N51" s="40">
        <f>24+26</f>
        <v>50</v>
      </c>
      <c r="O51" s="40">
        <f>26+31</f>
        <v>57</v>
      </c>
      <c r="P51" s="40">
        <f>6+17</f>
        <v>23</v>
      </c>
      <c r="Q51" s="40">
        <f>4+25</f>
        <v>29</v>
      </c>
      <c r="R51" s="145">
        <v>0</v>
      </c>
    </row>
    <row r="52" spans="1:18" x14ac:dyDescent="0.2">
      <c r="A52" s="37" t="s">
        <v>344</v>
      </c>
      <c r="B52" s="106">
        <f t="shared" si="15"/>
        <v>72.727272727272734</v>
      </c>
      <c r="C52" s="106">
        <f t="shared" si="16"/>
        <v>27.43362831858407</v>
      </c>
      <c r="E52" s="53">
        <f t="shared" si="17"/>
        <v>99</v>
      </c>
      <c r="F52" s="40">
        <f>9+5</f>
        <v>14</v>
      </c>
      <c r="G52" s="40">
        <f>27+31</f>
        <v>58</v>
      </c>
      <c r="H52" s="40">
        <f>12+11</f>
        <v>23</v>
      </c>
      <c r="I52" s="40">
        <v>4</v>
      </c>
      <c r="J52" s="40">
        <v>0</v>
      </c>
      <c r="K52" s="40">
        <v>0</v>
      </c>
      <c r="L52" s="53">
        <f t="shared" si="18"/>
        <v>113</v>
      </c>
      <c r="M52" s="40">
        <f>2</f>
        <v>2</v>
      </c>
      <c r="N52" s="40">
        <f>16+13</f>
        <v>29</v>
      </c>
      <c r="O52" s="40">
        <f>15+20</f>
        <v>35</v>
      </c>
      <c r="P52" s="40">
        <f>11+15</f>
        <v>26</v>
      </c>
      <c r="Q52" s="40">
        <f>3+17</f>
        <v>20</v>
      </c>
      <c r="R52" s="145">
        <v>1</v>
      </c>
    </row>
    <row r="53" spans="1:18" x14ac:dyDescent="0.2">
      <c r="A53" s="37" t="s">
        <v>376</v>
      </c>
      <c r="B53" s="106">
        <f t="shared" ref="B53" si="19">(F53+G53)*100/E53</f>
        <v>76.388888888888886</v>
      </c>
      <c r="C53" s="106">
        <f t="shared" ref="C53" si="20">(M53+N53)*100/L53</f>
        <v>27.480916030534353</v>
      </c>
      <c r="E53" s="53">
        <f t="shared" ref="E53" si="21">SUM(F53:K53)</f>
        <v>144</v>
      </c>
      <c r="F53" s="40">
        <v>15</v>
      </c>
      <c r="G53" s="40">
        <v>95</v>
      </c>
      <c r="H53" s="40">
        <v>32</v>
      </c>
      <c r="I53" s="40">
        <v>2</v>
      </c>
      <c r="J53" s="40">
        <v>0</v>
      </c>
      <c r="K53" s="40">
        <v>0</v>
      </c>
      <c r="L53" s="53">
        <f t="shared" si="18"/>
        <v>131</v>
      </c>
      <c r="M53" s="40">
        <v>0</v>
      </c>
      <c r="N53" s="40">
        <v>36</v>
      </c>
      <c r="O53" s="40">
        <v>46</v>
      </c>
      <c r="P53" s="40">
        <v>22</v>
      </c>
      <c r="Q53" s="40">
        <v>27</v>
      </c>
      <c r="R53" s="145">
        <v>0</v>
      </c>
    </row>
    <row r="54" spans="1:18" x14ac:dyDescent="0.2">
      <c r="A54" s="37" t="s">
        <v>369</v>
      </c>
      <c r="B54" s="106">
        <f t="shared" ref="B54" si="22">(F54+G54)*100/E54</f>
        <v>70.895522388059703</v>
      </c>
      <c r="C54" s="106">
        <f t="shared" ref="C54" si="23">(M54+N54)*100/L54</f>
        <v>36.196319018404907</v>
      </c>
      <c r="E54" s="53">
        <f t="shared" ref="E54" si="24">SUM(F54:K54)</f>
        <v>134</v>
      </c>
      <c r="F54" s="40">
        <f>15+6</f>
        <v>21</v>
      </c>
      <c r="G54" s="40">
        <f>37+37</f>
        <v>74</v>
      </c>
      <c r="H54" s="40">
        <f>14+19</f>
        <v>33</v>
      </c>
      <c r="I54" s="40">
        <v>6</v>
      </c>
      <c r="J54" s="40">
        <v>0</v>
      </c>
      <c r="K54" s="40">
        <v>0</v>
      </c>
      <c r="L54" s="53">
        <f t="shared" ref="L54" si="25">SUM(M54:R54)</f>
        <v>163</v>
      </c>
      <c r="M54" s="40">
        <f>2</f>
        <v>2</v>
      </c>
      <c r="N54" s="40">
        <f>29+28</f>
        <v>57</v>
      </c>
      <c r="O54" s="40">
        <f>22+25</f>
        <v>47</v>
      </c>
      <c r="P54" s="40">
        <f>4+20</f>
        <v>24</v>
      </c>
      <c r="Q54" s="40">
        <f>8+25</f>
        <v>33</v>
      </c>
      <c r="R54" s="145">
        <v>0</v>
      </c>
    </row>
    <row r="55" spans="1:18" x14ac:dyDescent="0.2">
      <c r="A55" s="37" t="s">
        <v>379</v>
      </c>
      <c r="B55" s="106">
        <f t="shared" ref="B55" si="26">(F55+G55)*100/E55</f>
        <v>68.539325842696627</v>
      </c>
      <c r="C55" s="106">
        <f t="shared" ref="C55" si="27">(M55+N55)*100/L55</f>
        <v>43.548387096774192</v>
      </c>
      <c r="E55" s="53">
        <f t="shared" ref="E55" si="28">SUM(F55:K55)</f>
        <v>89</v>
      </c>
      <c r="F55" s="40">
        <f>5+5</f>
        <v>10</v>
      </c>
      <c r="G55" s="40">
        <f>29+22</f>
        <v>51</v>
      </c>
      <c r="H55" s="40">
        <f>15+11</f>
        <v>26</v>
      </c>
      <c r="I55" s="40">
        <v>2</v>
      </c>
      <c r="J55" s="40">
        <v>0</v>
      </c>
      <c r="K55" s="40">
        <v>0</v>
      </c>
      <c r="L55" s="53">
        <f t="shared" ref="L55" si="29">SUM(M55:R55)</f>
        <v>124</v>
      </c>
      <c r="M55" s="40">
        <f>4</f>
        <v>4</v>
      </c>
      <c r="N55" s="40">
        <f>25+25</f>
        <v>50</v>
      </c>
      <c r="O55" s="40">
        <f>13+17</f>
        <v>30</v>
      </c>
      <c r="P55" s="40">
        <f>2+11</f>
        <v>13</v>
      </c>
      <c r="Q55" s="40">
        <f>3+24</f>
        <v>27</v>
      </c>
      <c r="R55" s="145">
        <v>0</v>
      </c>
    </row>
  </sheetData>
  <mergeCells count="2">
    <mergeCell ref="L20:P20"/>
    <mergeCell ref="E20:J20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13</vt:i4>
      </vt:variant>
      <vt:variant>
        <vt:lpstr>Navngitte områder</vt:lpstr>
      </vt:variant>
      <vt:variant>
        <vt:i4>6</vt:i4>
      </vt:variant>
    </vt:vector>
  </HeadingPairs>
  <TitlesOfParts>
    <vt:vector size="19" baseType="lpstr">
      <vt:lpstr>Tabell 1</vt:lpstr>
      <vt:lpstr>Tabell 2</vt:lpstr>
      <vt:lpstr>Tabell 3</vt:lpstr>
      <vt:lpstr>Tabell 4</vt:lpstr>
      <vt:lpstr>Tabell 5</vt:lpstr>
      <vt:lpstr>ny tabell 6 spes fastlønn</vt:lpstr>
      <vt:lpstr>Tabell 6</vt:lpstr>
      <vt:lpstr>Tabell 7 ny</vt:lpstr>
      <vt:lpstr>Figur 1</vt:lpstr>
      <vt:lpstr>Tabell 8</vt:lpstr>
      <vt:lpstr>Tabell 9</vt:lpstr>
      <vt:lpstr>Figur 2</vt:lpstr>
      <vt:lpstr>Tabell 12</vt:lpstr>
      <vt:lpstr>'Figur 1'!Utskriftsområde</vt:lpstr>
      <vt:lpstr>'Tabell 1'!Utskriftsområde</vt:lpstr>
      <vt:lpstr>'Tabell 12'!Utskriftsområde</vt:lpstr>
      <vt:lpstr>'Tabell 2'!Utskriftsområde</vt:lpstr>
      <vt:lpstr>'Tabell 5'!Utskriftsområde</vt:lpstr>
      <vt:lpstr>'Tabell 6'!Utskriftsområde</vt:lpstr>
    </vt:vector>
  </TitlesOfParts>
  <Company>Trygdeetaten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Petter Nossen</dc:creator>
  <cp:lastModifiedBy>Per Øivind Gaardsrud</cp:lastModifiedBy>
  <cp:lastPrinted>2020-10-29T09:27:05Z</cp:lastPrinted>
  <dcterms:created xsi:type="dcterms:W3CDTF">2001-12-18T09:34:28Z</dcterms:created>
  <dcterms:modified xsi:type="dcterms:W3CDTF">2021-02-09T12:50:38Z</dcterms:modified>
</cp:coreProperties>
</file>